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charts/chart78.xml" ContentType="application/vnd.openxmlformats-officedocument.drawingml.chart+xml"/>
  <Override PartName="/xl/charts/chart89.xml" ContentType="application/vnd.openxmlformats-officedocument.drawingml.chart+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charts/chart67.xml" ContentType="application/vnd.openxmlformats-officedocument.drawingml.chart+xml"/>
  <Override PartName="/xl/charts/chart96.xml" ContentType="application/vnd.openxmlformats-officedocument.drawingml.chart+xml"/>
  <Override PartName="/xl/worksheets/sheet3.xml" ContentType="application/vnd.openxmlformats-officedocument.spreadsheetml.worksheet+xml"/>
  <Override PartName="/xl/drawings/drawing13.xml" ContentType="application/vnd.openxmlformats-officedocument.drawing+xml"/>
  <Override PartName="/xl/charts/chart27.xml" ContentType="application/vnd.openxmlformats-officedocument.drawingml.chart+xml"/>
  <Override PartName="/xl/charts/chart38.xml" ContentType="application/vnd.openxmlformats-officedocument.drawingml.chart+xml"/>
  <Override PartName="/xl/charts/chart56.xml" ContentType="application/vnd.openxmlformats-officedocument.drawingml.chart+xml"/>
  <Override PartName="/xl/charts/chart74.xml" ContentType="application/vnd.openxmlformats-officedocument.drawingml.chart+xml"/>
  <Override PartName="/xl/charts/chart85.xml" ContentType="application/vnd.openxmlformats-officedocument.drawingml.chart+xml"/>
  <Override PartName="/xl/externalLinks/externalLink1.xml" ContentType="application/vnd.openxmlformats-officedocument.spreadsheetml.externalLink+xml"/>
  <Override PartName="/xl/charts/chart16.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63.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trlProps/ctrlProp6.xml" ContentType="application/vnd.ms-excel.controlproperties+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charts/chart101.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trlProps/ctrlProp2.xml" ContentType="application/vnd.ms-excel.controlproperties+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ml.chartshapes+xml"/>
  <Override PartName="/xl/worksheets/sheet8.xml" ContentType="application/vnd.openxmlformats-officedocument.spreadsheetml.worksheet+xml"/>
  <Override PartName="/xl/charts/chart79.xml" ContentType="application/vnd.openxmlformats-officedocument.drawingml.chart+xml"/>
  <Override PartName="/xl/charts/chart97.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charts/chart39.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86.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75.xml" ContentType="application/vnd.openxmlformats-officedocument.drawingml.chart+xml"/>
  <Override PartName="/xl/charts/chart84.xml" ContentType="application/vnd.openxmlformats-officedocument.drawingml.chart+xml"/>
  <Override PartName="/xl/charts/chart93.xml" ContentType="application/vnd.openxmlformats-officedocument.drawingml.chart+xml"/>
  <Override PartName="/xl/drawings/drawing14.xml" ContentType="application/vnd.openxmlformats-officedocument.drawing+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Override PartName="/xl/charts/chart82.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alcChain.xml" ContentType="application/vnd.openxmlformats-officedocument.spreadsheetml.calcChain+xml"/>
  <Override PartName="/xl/ctrlProps/ctrlProp5.xml" ContentType="application/vnd.ms-excel.controlproperties+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80.xml" ContentType="application/vnd.openxmlformats-officedocument.drawingml.chart+xml"/>
  <Override PartName="/xl/charts/chart102.xml" ContentType="application/vnd.openxmlformats-officedocument.drawingml.chart+xml"/>
  <Override PartName="/xl/ctrlProps/ctrlProp3.xml" ContentType="application/vnd.ms-excel.controlproperties+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xl/charts/chart100.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69.xml" ContentType="application/vnd.openxmlformats-officedocument.drawingml.chart+xml"/>
  <Override PartName="/xl/charts/chart98.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charts/chart58.xml" ContentType="application/vnd.openxmlformats-officedocument.drawingml.chart+xml"/>
  <Override PartName="/xl/charts/chart76.xml" ContentType="application/vnd.openxmlformats-officedocument.drawingml.chart+xml"/>
  <Override PartName="/xl/charts/chart87.xml" ContentType="application/vnd.openxmlformats-officedocument.drawingml.chart+xml"/>
  <Override PartName="/xl/drawings/drawing15.xml" ContentType="application/vnd.openxmlformats-officedocument.drawing+xml"/>
  <Override PartName="/xl/externalLinks/externalLink3.xml" ContentType="application/vnd.openxmlformats-officedocument.spreadsheetml.externalLink+xml"/>
  <Override PartName="/xl/comments2.xml" ContentType="application/vnd.openxmlformats-officedocument.spreadsheetml.comments+xml"/>
  <Override PartName="/xl/charts/chart18.xml" ContentType="application/vnd.openxmlformats-officedocument.drawingml.chart+xml"/>
  <Override PartName="/xl/charts/chart36.xml" ContentType="application/vnd.openxmlformats-officedocument.drawingml.chart+xml"/>
  <Override PartName="/xl/charts/chart47.xml" ContentType="application/vnd.openxmlformats-officedocument.drawingml.chart+xml"/>
  <Override PartName="/xl/charts/chart65.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Override PartName="/xl/ctrlProps/ctrlProp8.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charts/chart54.xml" ContentType="application/vnd.openxmlformats-officedocument.drawingml.chart+xml"/>
  <Override PartName="/xl/charts/chart72.xml" ContentType="application/vnd.openxmlformats-officedocument.drawingml.chart+xml"/>
  <Override PartName="/xl/charts/chart103.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chart90.xml" ContentType="application/vnd.openxmlformats-officedocument.drawingml.chart+xml"/>
  <Override PartName="/xl/ctrlProps/ctrlProp4.xml" ContentType="application/vnd.ms-excel.controlproperties+xml"/>
  <Override PartName="/xl/charts/chart2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99.xml" ContentType="application/vnd.openxmlformats-officedocument.drawingml.chart+xml"/>
  <Override PartName="/xl/worksheets/sheet6.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Default Extension="jpeg" ContentType="image/jpeg"/>
  <Override PartName="/xl/charts/chart59.xml" ContentType="application/vnd.openxmlformats-officedocument.drawingml.chart+xml"/>
  <Override PartName="/xl/charts/chart88.xml" ContentType="application/vnd.openxmlformats-officedocument.drawingml.chart+xml"/>
  <Override PartName="/xl/charts/chart48.xml" ContentType="application/vnd.openxmlformats-officedocument.drawingml.chart+xml"/>
  <Override PartName="/xl/charts/chart77.xml" ContentType="application/vnd.openxmlformats-officedocument.drawingml.chart+xml"/>
  <Override PartName="/xl/charts/chart95.xml" ContentType="application/vnd.openxmlformats-officedocument.drawingml.chart+xml"/>
  <Override PartName="/xl/ctrlProps/ctrlProp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60" windowWidth="19125" windowHeight="11550" tabRatio="925"/>
  </bookViews>
  <sheets>
    <sheet name="メイン" sheetId="7" r:id="rId1"/>
    <sheet name="結果" sheetId="20" r:id="rId2"/>
    <sheet name="スコア" sheetId="8" r:id="rId3"/>
    <sheet name="配慮" sheetId="14" r:id="rId4"/>
    <sheet name="電気排出係数" sheetId="31" r:id="rId5"/>
    <sheet name="採点Q1" sheetId="12" r:id="rId6"/>
    <sheet name="採点Q2" sheetId="2" r:id="rId7"/>
    <sheet name="採点Q3" sheetId="16" r:id="rId8"/>
    <sheet name="採点LR1" sheetId="3" r:id="rId9"/>
    <sheet name="採点LR2" sheetId="4" r:id="rId10"/>
    <sheet name="採点LR3" sheetId="6" r:id="rId11"/>
    <sheet name="CO2独自計算" sheetId="27" r:id="rId12"/>
    <sheet name="CO2計算" sheetId="22" r:id="rId13"/>
    <sheet name="独自ｼｽﾃﾑ" sheetId="33" r:id="rId14"/>
    <sheet name="高評価資料" sheetId="34" r:id="rId15"/>
    <sheet name="重み" sheetId="9" r:id="rId16"/>
    <sheet name="CO2データ" sheetId="30" r:id="rId17"/>
    <sheet name="クレジット" sheetId="10" r:id="rId18"/>
  </sheets>
  <externalReferences>
    <externalReference r:id="rId19"/>
    <externalReference r:id="rId20"/>
    <externalReference r:id="rId21"/>
  </externalReferences>
  <definedNames>
    <definedName name="_xlnm._FilterDatabase" localSheetId="2" hidden="1">スコア!$A$7:$AC$40</definedName>
    <definedName name="_xlnm._FilterDatabase" localSheetId="5" hidden="1">採点Q1!$7:$7</definedName>
    <definedName name="_xlnm._FilterDatabase" localSheetId="15" hidden="1">重み!$A$8:$BK$58</definedName>
    <definedName name="Cell_計算種別">[1]省エネメニュー!$L$2</definedName>
    <definedName name="Cell_東電温暖化用HEMS削減効果">'[2]070507住宅マクロ条件一覧'!$V$196</definedName>
    <definedName name="OLE_LINK4" localSheetId="6">採点Q2!#REF!</definedName>
    <definedName name="_xlnm.Print_Area" localSheetId="16">CO2データ!$A$1:$R$171</definedName>
    <definedName name="_xlnm.Print_Area" localSheetId="12">CO2計算!$A$1:$Q$82</definedName>
    <definedName name="_xlnm.Print_Area" localSheetId="17">クレジット!$A$1:$S$37</definedName>
    <definedName name="_xlnm.Print_Area" localSheetId="2">スコア!$A$1:$T$87</definedName>
    <definedName name="_xlnm.Print_Area" localSheetId="0">メイン!$A$1:$F$36</definedName>
    <definedName name="_xlnm.Print_Area" localSheetId="1">結果!$A$1:$P$69</definedName>
    <definedName name="_xlnm.Print_Area" localSheetId="14">高評価資料!$B$1:$F$57</definedName>
    <definedName name="_xlnm.Print_Area" localSheetId="8">採点LR1!$A$1:$N$130</definedName>
    <definedName name="_xlnm.Print_Area" localSheetId="9">採点LR2!$A$1:$N$205</definedName>
    <definedName name="_xlnm.Print_Area" localSheetId="10">採点LR3!$A$1:$N$96</definedName>
    <definedName name="_xlnm.Print_Area" localSheetId="5">採点Q1!$A$1:$N$140</definedName>
    <definedName name="_xlnm.Print_Area" localSheetId="6">採点Q2!$A$1:$N$155</definedName>
    <definedName name="_xlnm.Print_Area" localSheetId="7">採点Q3!$A$1:$O$104</definedName>
    <definedName name="_xlnm.Print_Area" localSheetId="15">重み!$A$2:$BJ$87</definedName>
    <definedName name="_xlnm.Print_Area" localSheetId="13">独自ｼｽﾃﾑ!$A$1:$O$107</definedName>
    <definedName name="_xlnm.Print_Titles" localSheetId="12">CO2計算!$1:$4</definedName>
    <definedName name="_xlnm.Print_Titles" localSheetId="2">スコア!$2:$4</definedName>
    <definedName name="_xlnm.Print_Titles" localSheetId="14">高評価資料!$5:$5</definedName>
    <definedName name="_xlnm.Print_Titles" localSheetId="15">重み!$5:$6</definedName>
    <definedName name="Z_047384A4_E844_4BB4_B522_1CE13C4699E4_.wvu.Cols" localSheetId="11" hidden="1">CO2独自計算!$K:$IV</definedName>
    <definedName name="Z_047384A4_E844_4BB4_B522_1CE13C4699E4_.wvu.Rows" localSheetId="11" hidden="1">CO2独自計算!$25:$65537,CO2独自計算!#REF!</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25725"/>
</workbook>
</file>

<file path=xl/calcChain.xml><?xml version="1.0" encoding="utf-8"?>
<calcChain xmlns="http://schemas.openxmlformats.org/spreadsheetml/2006/main">
  <c r="J13" i="8"/>
  <c r="AF86" l="1"/>
  <c r="AF85"/>
  <c r="AF83"/>
  <c r="AF82"/>
  <c r="AF80"/>
  <c r="AF77"/>
  <c r="AF75"/>
  <c r="AF74"/>
  <c r="AF73"/>
  <c r="AF71"/>
  <c r="AF70"/>
  <c r="AF69"/>
  <c r="AF68"/>
  <c r="AF67"/>
  <c r="AF66"/>
  <c r="AF65"/>
  <c r="AF61"/>
  <c r="AF60"/>
  <c r="AF58"/>
  <c r="AF57"/>
  <c r="AF55"/>
  <c r="AF54"/>
  <c r="AF50"/>
  <c r="AF49"/>
  <c r="AF48"/>
  <c r="AF47"/>
  <c r="AF45"/>
  <c r="AF43"/>
  <c r="AF42"/>
  <c r="AF40"/>
  <c r="AF39"/>
  <c r="AF37"/>
  <c r="AF36"/>
  <c r="AF34"/>
  <c r="AF33"/>
  <c r="AF32"/>
  <c r="AF31"/>
  <c r="AF28"/>
  <c r="AF26"/>
  <c r="AF24"/>
  <c r="AF23"/>
  <c r="AF22"/>
  <c r="AF21"/>
  <c r="AF18"/>
  <c r="AF16"/>
  <c r="AF13"/>
  <c r="AF12"/>
  <c r="AF15"/>
  <c r="L63" i="20" l="1"/>
  <c r="L67"/>
  <c r="H67"/>
  <c r="B67"/>
  <c r="L65"/>
  <c r="H65"/>
  <c r="B65"/>
  <c r="B63"/>
  <c r="N88" i="33" l="1"/>
  <c r="N87"/>
  <c r="N86"/>
  <c r="M76" l="1"/>
  <c r="Q88"/>
  <c r="Q86"/>
  <c r="N85"/>
  <c r="N84"/>
  <c r="N83"/>
  <c r="N82"/>
  <c r="Q82" s="1"/>
  <c r="N81"/>
  <c r="N80"/>
  <c r="Q80" s="1"/>
  <c r="N79"/>
  <c r="Q79" s="1"/>
  <c r="N78"/>
  <c r="Q78" s="1"/>
  <c r="N77"/>
  <c r="Q77" s="1"/>
  <c r="Q87"/>
  <c r="Q85"/>
  <c r="Q84"/>
  <c r="Q83"/>
  <c r="Q81"/>
  <c r="E39" l="1"/>
  <c r="N70" l="1"/>
  <c r="N69"/>
  <c r="N68"/>
  <c r="H72"/>
  <c r="H71"/>
  <c r="H70"/>
  <c r="H69"/>
  <c r="H68"/>
  <c r="H63"/>
  <c r="N58"/>
  <c r="N57"/>
  <c r="N56"/>
  <c r="H56"/>
  <c r="N48"/>
  <c r="N52"/>
  <c r="N51"/>
  <c r="N50"/>
  <c r="N49"/>
  <c r="N47"/>
  <c r="N46"/>
  <c r="N41" l="1"/>
  <c r="N40"/>
  <c r="N39"/>
  <c r="H42"/>
  <c r="H41"/>
  <c r="H40"/>
  <c r="N35" l="1"/>
  <c r="H35"/>
  <c r="N29" l="1"/>
  <c r="H31"/>
  <c r="H29"/>
  <c r="E10" l="1"/>
  <c r="E9"/>
  <c r="K11" l="1"/>
  <c r="E11"/>
  <c r="Q102" l="1"/>
  <c r="M102" s="1"/>
  <c r="Q75"/>
  <c r="Q73"/>
  <c r="Q72"/>
  <c r="Q71"/>
  <c r="Q70"/>
  <c r="Q69"/>
  <c r="Q68"/>
  <c r="Q67"/>
  <c r="G67"/>
  <c r="Q66"/>
  <c r="Q63"/>
  <c r="N61" s="1"/>
  <c r="M61"/>
  <c r="Q58"/>
  <c r="Q57"/>
  <c r="Q56"/>
  <c r="Q54"/>
  <c r="M54"/>
  <c r="Q52"/>
  <c r="Q51"/>
  <c r="Q50"/>
  <c r="Q49"/>
  <c r="Q48"/>
  <c r="Q47"/>
  <c r="Q46"/>
  <c r="M45"/>
  <c r="Q44"/>
  <c r="Q43"/>
  <c r="Q42"/>
  <c r="Q41"/>
  <c r="Q40"/>
  <c r="Q39"/>
  <c r="Q35"/>
  <c r="Q34"/>
  <c r="Q32"/>
  <c r="Q31"/>
  <c r="Q29"/>
  <c r="H67" l="1"/>
  <c r="N54"/>
  <c r="N45"/>
  <c r="O16" i="8"/>
  <c r="O12"/>
  <c r="J12"/>
  <c r="AG86"/>
  <c r="AG85"/>
  <c r="AG83"/>
  <c r="AG82"/>
  <c r="AG80"/>
  <c r="AG78"/>
  <c r="AG77"/>
  <c r="AG75"/>
  <c r="AG74"/>
  <c r="AG73"/>
  <c r="AG71"/>
  <c r="AG70"/>
  <c r="AG69"/>
  <c r="AG68"/>
  <c r="AG67"/>
  <c r="AG66"/>
  <c r="AG65"/>
  <c r="AG50"/>
  <c r="AG49"/>
  <c r="AG48"/>
  <c r="AG47"/>
  <c r="AG45"/>
  <c r="AG43"/>
  <c r="AG42"/>
  <c r="AG40"/>
  <c r="AG39"/>
  <c r="AG37"/>
  <c r="AG36"/>
  <c r="AG34"/>
  <c r="AG33"/>
  <c r="AG32"/>
  <c r="AG31"/>
  <c r="AG28"/>
  <c r="AG27"/>
  <c r="AG26"/>
  <c r="AG24"/>
  <c r="AG23"/>
  <c r="AG22"/>
  <c r="AG21"/>
  <c r="AG19"/>
  <c r="AG18"/>
  <c r="AG16"/>
  <c r="AG15"/>
  <c r="AG13"/>
  <c r="AG12"/>
  <c r="O51" l="1"/>
  <c r="D107" i="4" l="1"/>
  <c r="D77"/>
  <c r="U91" i="16"/>
  <c r="P91"/>
  <c r="D91"/>
  <c r="U90"/>
  <c r="P90"/>
  <c r="D90"/>
  <c r="U89"/>
  <c r="P89"/>
  <c r="D89"/>
  <c r="U88"/>
  <c r="D88"/>
  <c r="D87"/>
  <c r="U87"/>
  <c r="D86"/>
  <c r="F80"/>
  <c r="U72"/>
  <c r="U71"/>
  <c r="P71"/>
  <c r="U70"/>
  <c r="P70"/>
  <c r="U69"/>
  <c r="P69"/>
  <c r="U68"/>
  <c r="U67"/>
  <c r="U53"/>
  <c r="U52"/>
  <c r="P52"/>
  <c r="D52"/>
  <c r="U51"/>
  <c r="D51"/>
  <c r="U50"/>
  <c r="P50"/>
  <c r="D50"/>
  <c r="U49"/>
  <c r="D49"/>
  <c r="U48"/>
  <c r="P48"/>
  <c r="D48"/>
  <c r="U41"/>
  <c r="P41"/>
  <c r="D41"/>
  <c r="U40"/>
  <c r="P40"/>
  <c r="D40"/>
  <c r="U39"/>
  <c r="P39"/>
  <c r="D39"/>
  <c r="U38"/>
  <c r="P38"/>
  <c r="D38"/>
  <c r="U37"/>
  <c r="P37"/>
  <c r="D37"/>
  <c r="F121" i="2" l="1"/>
  <c r="L128" i="4" l="1"/>
  <c r="L97"/>
  <c r="F102" i="16"/>
  <c r="U15"/>
  <c r="U14"/>
  <c r="P14"/>
  <c r="U13"/>
  <c r="P13"/>
  <c r="U12"/>
  <c r="P12"/>
  <c r="U11"/>
  <c r="U10"/>
  <c r="P10"/>
  <c r="X8"/>
  <c r="W8"/>
  <c r="V8"/>
  <c r="U8"/>
  <c r="T8"/>
  <c r="S8"/>
  <c r="R8"/>
  <c r="Q8"/>
  <c r="O8"/>
  <c r="F154" i="30" l="1"/>
  <c r="AA137" l="1"/>
  <c r="Z137"/>
  <c r="Y137"/>
  <c r="X137"/>
  <c r="W137"/>
  <c r="V137"/>
  <c r="U137"/>
  <c r="T137"/>
  <c r="U136"/>
  <c r="V136"/>
  <c r="W136"/>
  <c r="X136"/>
  <c r="Y136"/>
  <c r="Z136"/>
  <c r="AA136"/>
  <c r="T136"/>
  <c r="I70" i="22" l="1"/>
  <c r="J55"/>
  <c r="R29" i="3" l="1"/>
  <c r="U46" l="1"/>
  <c r="F45" i="22" l="1"/>
  <c r="F46"/>
  <c r="F47"/>
  <c r="F44"/>
  <c r="F25"/>
  <c r="F23"/>
  <c r="I26"/>
  <c r="I27"/>
  <c r="I28"/>
  <c r="I25"/>
  <c r="F26"/>
  <c r="F27"/>
  <c r="F28"/>
  <c r="I45"/>
  <c r="I46"/>
  <c r="I47"/>
  <c r="I44"/>
  <c r="F42"/>
  <c r="J22"/>
  <c r="K22"/>
  <c r="I22"/>
  <c r="G55" l="1"/>
  <c r="G73" s="1"/>
  <c r="E154" i="30"/>
  <c r="D154"/>
  <c r="I135"/>
  <c r="I19" i="3"/>
  <c r="I17"/>
  <c r="I55" i="22" s="1"/>
  <c r="G154" i="30" l="1"/>
  <c r="H154" s="1"/>
  <c r="I154" s="1"/>
  <c r="I137"/>
  <c r="I148"/>
  <c r="J19" i="3"/>
  <c r="M17" s="1"/>
  <c r="I147" i="30"/>
  <c r="I140"/>
  <c r="I139"/>
  <c r="I152"/>
  <c r="I144"/>
  <c r="I151"/>
  <c r="I143"/>
  <c r="G155"/>
  <c r="H155" s="1"/>
  <c r="I155" s="1"/>
  <c r="I136"/>
  <c r="I150"/>
  <c r="I146"/>
  <c r="I142"/>
  <c r="I138"/>
  <c r="I153"/>
  <c r="I149"/>
  <c r="I145"/>
  <c r="I141"/>
  <c r="J59" i="22" l="1"/>
  <c r="J73" s="1"/>
  <c r="I59"/>
  <c r="K125" i="30"/>
  <c r="K126"/>
  <c r="K127"/>
  <c r="K128"/>
  <c r="K129"/>
  <c r="K130"/>
  <c r="D12" i="20" l="1"/>
  <c r="E18" i="31"/>
  <c r="D18"/>
  <c r="E17"/>
  <c r="D17"/>
  <c r="E16"/>
  <c r="D16"/>
  <c r="E15"/>
  <c r="D15"/>
  <c r="E14"/>
  <c r="D14"/>
  <c r="E13"/>
  <c r="D13"/>
  <c r="E12"/>
  <c r="D12"/>
  <c r="E11"/>
  <c r="D11"/>
  <c r="E10"/>
  <c r="D10"/>
  <c r="D9"/>
  <c r="E9"/>
  <c r="J55" i="8"/>
  <c r="AG55" s="1"/>
  <c r="J54"/>
  <c r="AG54" s="1"/>
  <c r="J24"/>
  <c r="D8" i="3"/>
  <c r="U34" i="8"/>
  <c r="O34" s="1"/>
  <c r="K34" i="9" s="1"/>
  <c r="Q24" i="8"/>
  <c r="P3" i="9"/>
  <c r="V14" s="1"/>
  <c r="L54"/>
  <c r="M67" i="22"/>
  <c r="P64"/>
  <c r="F74" i="3"/>
  <c r="D60" s="1"/>
  <c r="D97" i="12"/>
  <c r="D100" s="1"/>
  <c r="U103"/>
  <c r="U102"/>
  <c r="U101"/>
  <c r="U100"/>
  <c r="P100"/>
  <c r="U99"/>
  <c r="P99"/>
  <c r="U98"/>
  <c r="P98"/>
  <c r="X96"/>
  <c r="W96"/>
  <c r="V96"/>
  <c r="U96"/>
  <c r="T96"/>
  <c r="S96"/>
  <c r="R96"/>
  <c r="Q96"/>
  <c r="P96"/>
  <c r="O96"/>
  <c r="U35" i="20"/>
  <c r="P37" i="22"/>
  <c r="G11"/>
  <c r="G37" s="1"/>
  <c r="P38"/>
  <c r="G12"/>
  <c r="G38" s="1"/>
  <c r="P39"/>
  <c r="G13"/>
  <c r="G39" s="1"/>
  <c r="F93" i="3"/>
  <c r="D82" s="1"/>
  <c r="D84" s="1"/>
  <c r="B5" i="31"/>
  <c r="D5" s="1"/>
  <c r="P11" i="22"/>
  <c r="P12"/>
  <c r="P13"/>
  <c r="Y8" i="9"/>
  <c r="U58" i="8"/>
  <c r="O58" s="1"/>
  <c r="N71" i="33" s="1"/>
  <c r="U60" i="8"/>
  <c r="O60" s="1"/>
  <c r="U61"/>
  <c r="O61" s="1"/>
  <c r="S89" i="9"/>
  <c r="S90"/>
  <c r="S91"/>
  <c r="U73" i="8"/>
  <c r="O73" s="1"/>
  <c r="K73" i="9" s="1"/>
  <c r="U74" i="8"/>
  <c r="O74" s="1"/>
  <c r="K74" i="9" s="1"/>
  <c r="U75" i="8"/>
  <c r="O75" s="1"/>
  <c r="K75" i="9" s="1"/>
  <c r="U77" i="8"/>
  <c r="O77" s="1"/>
  <c r="K77" i="9" s="1"/>
  <c r="G27" i="7"/>
  <c r="G26"/>
  <c r="G25"/>
  <c r="G24"/>
  <c r="G23"/>
  <c r="G22"/>
  <c r="G21"/>
  <c r="G20"/>
  <c r="G19"/>
  <c r="G18"/>
  <c r="E19" i="31"/>
  <c r="D19"/>
  <c r="D7" i="9"/>
  <c r="AA6" i="8" s="1"/>
  <c r="U12"/>
  <c r="K12" i="9" s="1"/>
  <c r="U13" i="8"/>
  <c r="O13" s="1"/>
  <c r="K13" i="9" s="1"/>
  <c r="U15" i="8"/>
  <c r="O15" s="1"/>
  <c r="K15" i="9" s="1"/>
  <c r="U16" i="8"/>
  <c r="K16" i="9" s="1"/>
  <c r="U18" i="8"/>
  <c r="O18" s="1"/>
  <c r="K18" i="9" s="1"/>
  <c r="B19"/>
  <c r="C19"/>
  <c r="U21" i="8"/>
  <c r="O21" s="1"/>
  <c r="K21" i="9" s="1"/>
  <c r="U22" i="8"/>
  <c r="O22" s="1"/>
  <c r="K22" i="9" s="1"/>
  <c r="U23" i="8"/>
  <c r="O23" s="1"/>
  <c r="K23" i="9" s="1"/>
  <c r="U36" i="8"/>
  <c r="O36" s="1"/>
  <c r="K36" i="9" s="1"/>
  <c r="U37" i="8"/>
  <c r="O37" s="1"/>
  <c r="K37" i="9" s="1"/>
  <c r="U43" i="8"/>
  <c r="O43" s="1"/>
  <c r="K43" i="9" s="1"/>
  <c r="U47" i="8"/>
  <c r="O47" s="1"/>
  <c r="K47" i="9" s="1"/>
  <c r="P32" i="22"/>
  <c r="K32"/>
  <c r="J32"/>
  <c r="I32"/>
  <c r="I10" i="7"/>
  <c r="N15"/>
  <c r="O15" s="1"/>
  <c r="N10"/>
  <c r="N12"/>
  <c r="N13"/>
  <c r="N14"/>
  <c r="N16"/>
  <c r="N18"/>
  <c r="O18" s="1"/>
  <c r="N19"/>
  <c r="H38" i="27"/>
  <c r="Q51" i="6"/>
  <c r="Q52"/>
  <c r="Q53"/>
  <c r="Q54"/>
  <c r="Q55"/>
  <c r="Q50"/>
  <c r="D35" i="7"/>
  <c r="H2" i="27"/>
  <c r="K5" i="20"/>
  <c r="P12" i="3"/>
  <c r="P165" i="4"/>
  <c r="P58" i="12"/>
  <c r="P47"/>
  <c r="P24"/>
  <c r="B2" i="22"/>
  <c r="B3"/>
  <c r="N3"/>
  <c r="N2"/>
  <c r="U31" i="8"/>
  <c r="L37" i="22" s="1"/>
  <c r="L30" i="2"/>
  <c r="D19" s="1"/>
  <c r="P48"/>
  <c r="L51" s="1"/>
  <c r="D38" s="1"/>
  <c r="D108"/>
  <c r="D111" s="1"/>
  <c r="J86" i="8"/>
  <c r="J85"/>
  <c r="J83"/>
  <c r="J82"/>
  <c r="J77"/>
  <c r="J75"/>
  <c r="J74"/>
  <c r="J73"/>
  <c r="J71"/>
  <c r="J70"/>
  <c r="J69"/>
  <c r="J68"/>
  <c r="J67"/>
  <c r="J66"/>
  <c r="J65"/>
  <c r="J61"/>
  <c r="AG61" s="1"/>
  <c r="J60"/>
  <c r="AG60" s="1"/>
  <c r="J58"/>
  <c r="AG58" s="1"/>
  <c r="J57"/>
  <c r="AG57" s="1"/>
  <c r="J50"/>
  <c r="J49"/>
  <c r="J48"/>
  <c r="J47"/>
  <c r="J43"/>
  <c r="J42"/>
  <c r="J40"/>
  <c r="J39"/>
  <c r="J37"/>
  <c r="J36"/>
  <c r="J34"/>
  <c r="J33"/>
  <c r="J32"/>
  <c r="J31"/>
  <c r="J28"/>
  <c r="J26"/>
  <c r="J23"/>
  <c r="J22"/>
  <c r="J21"/>
  <c r="J18"/>
  <c r="J16"/>
  <c r="J15"/>
  <c r="O3"/>
  <c r="O2"/>
  <c r="B2"/>
  <c r="B3"/>
  <c r="O78"/>
  <c r="K78" i="9" s="1"/>
  <c r="O27" i="8"/>
  <c r="K27" i="9" s="1"/>
  <c r="U28" i="8"/>
  <c r="Y28" s="1"/>
  <c r="S28" s="1"/>
  <c r="S51" i="20" s="1"/>
  <c r="T51" s="1"/>
  <c r="Q10" i="8"/>
  <c r="L10" i="9" s="1"/>
  <c r="Q18" i="8"/>
  <c r="L18" i="9" s="1"/>
  <c r="Q11" i="8"/>
  <c r="L11" i="9" s="1"/>
  <c r="Q14" i="8"/>
  <c r="L14" i="9" s="1"/>
  <c r="Q17" i="8"/>
  <c r="L17" i="9" s="1"/>
  <c r="Q15" i="8"/>
  <c r="L15" i="9"/>
  <c r="Q16" i="8"/>
  <c r="L16" i="9" s="1"/>
  <c r="Q12" i="8"/>
  <c r="L12" i="9" s="1"/>
  <c r="Q13" i="8"/>
  <c r="L13" i="9" s="1"/>
  <c r="Q83" i="8"/>
  <c r="Q82"/>
  <c r="Q86"/>
  <c r="Q85"/>
  <c r="Q79"/>
  <c r="Q78"/>
  <c r="Q77"/>
  <c r="Q76"/>
  <c r="Q75"/>
  <c r="Q74"/>
  <c r="Q73"/>
  <c r="Q72"/>
  <c r="Q71"/>
  <c r="Q70"/>
  <c r="Q69"/>
  <c r="Q68"/>
  <c r="Q67"/>
  <c r="Q66"/>
  <c r="Q65"/>
  <c r="Q64"/>
  <c r="Q63"/>
  <c r="Q62"/>
  <c r="Q61"/>
  <c r="Q60"/>
  <c r="Q59"/>
  <c r="Q58"/>
  <c r="Q57"/>
  <c r="Q56"/>
  <c r="Q55"/>
  <c r="Q54"/>
  <c r="Q53"/>
  <c r="Q52"/>
  <c r="X51"/>
  <c r="R51" s="1"/>
  <c r="Q51"/>
  <c r="Q50"/>
  <c r="Q49"/>
  <c r="Q48"/>
  <c r="Q47"/>
  <c r="Q46"/>
  <c r="Q45"/>
  <c r="Q44"/>
  <c r="Q43"/>
  <c r="Q42"/>
  <c r="Q41"/>
  <c r="Q40"/>
  <c r="Q39"/>
  <c r="Q38"/>
  <c r="Q37"/>
  <c r="Q36"/>
  <c r="Q35"/>
  <c r="Q34"/>
  <c r="Q33"/>
  <c r="Q32"/>
  <c r="Q31"/>
  <c r="Q30"/>
  <c r="Q29"/>
  <c r="Q28"/>
  <c r="Q27"/>
  <c r="Q26"/>
  <c r="Q25"/>
  <c r="Q23"/>
  <c r="Q22"/>
  <c r="Q21"/>
  <c r="Q20"/>
  <c r="X19"/>
  <c r="R19" s="1"/>
  <c r="Q19"/>
  <c r="L19" i="9" s="1"/>
  <c r="O79" i="8"/>
  <c r="O62"/>
  <c r="O52"/>
  <c r="O19"/>
  <c r="K19" i="9" s="1"/>
  <c r="V51" i="8"/>
  <c r="P51" s="1"/>
  <c r="V19"/>
  <c r="P19" s="1"/>
  <c r="AA51"/>
  <c r="AC51"/>
  <c r="S78"/>
  <c r="S19"/>
  <c r="E5"/>
  <c r="AC8"/>
  <c r="AA8"/>
  <c r="AC6"/>
  <c r="O44"/>
  <c r="O29"/>
  <c r="L39" i="4"/>
  <c r="D29" s="1"/>
  <c r="U66" i="8" s="1"/>
  <c r="O66" s="1"/>
  <c r="K66" i="9" s="1"/>
  <c r="D63" i="6"/>
  <c r="D66" s="1"/>
  <c r="F94"/>
  <c r="D79" s="1"/>
  <c r="F36"/>
  <c r="D22" s="1"/>
  <c r="L22" i="4"/>
  <c r="D11" s="1"/>
  <c r="U65" i="8" s="1"/>
  <c r="O65" s="1"/>
  <c r="F54" i="4"/>
  <c r="D44" s="1"/>
  <c r="U67" i="8" s="1"/>
  <c r="O67" s="1"/>
  <c r="K67" i="9" s="1"/>
  <c r="F71" i="4"/>
  <c r="D60" s="1"/>
  <c r="U68" i="8" s="1"/>
  <c r="O68" s="1"/>
  <c r="K68" i="9" s="1"/>
  <c r="F92" i="4"/>
  <c r="H92"/>
  <c r="F123"/>
  <c r="H123"/>
  <c r="D140"/>
  <c r="P99" i="2"/>
  <c r="P101"/>
  <c r="L139"/>
  <c r="D128" s="1"/>
  <c r="F60" i="16"/>
  <c r="D47" s="1"/>
  <c r="D66"/>
  <c r="L124" i="12"/>
  <c r="D114" s="1"/>
  <c r="U26" i="8" s="1"/>
  <c r="O26" s="1"/>
  <c r="K26" i="9" s="1"/>
  <c r="AY82"/>
  <c r="AY85"/>
  <c r="AY80"/>
  <c r="L9"/>
  <c r="L29"/>
  <c r="L44"/>
  <c r="L52"/>
  <c r="L62"/>
  <c r="L79"/>
  <c r="L53"/>
  <c r="L56"/>
  <c r="L59"/>
  <c r="L55"/>
  <c r="L57"/>
  <c r="L58"/>
  <c r="L60"/>
  <c r="L61"/>
  <c r="L63"/>
  <c r="L72"/>
  <c r="L76"/>
  <c r="L64"/>
  <c r="L68"/>
  <c r="L69"/>
  <c r="L70"/>
  <c r="L71"/>
  <c r="L65"/>
  <c r="L66"/>
  <c r="L67"/>
  <c r="L73"/>
  <c r="L74"/>
  <c r="L75"/>
  <c r="L77"/>
  <c r="L78"/>
  <c r="L86"/>
  <c r="L87"/>
  <c r="L83"/>
  <c r="L84"/>
  <c r="H15" i="7"/>
  <c r="H12" i="20"/>
  <c r="J18"/>
  <c r="J17"/>
  <c r="J16"/>
  <c r="J15"/>
  <c r="D14"/>
  <c r="G15"/>
  <c r="D15"/>
  <c r="D16"/>
  <c r="D17"/>
  <c r="G16"/>
  <c r="G8"/>
  <c r="K10"/>
  <c r="K9"/>
  <c r="K8"/>
  <c r="G18"/>
  <c r="G13"/>
  <c r="G11"/>
  <c r="O5"/>
  <c r="D8"/>
  <c r="D10"/>
  <c r="D13"/>
  <c r="D11"/>
  <c r="D18"/>
  <c r="D9"/>
  <c r="G9"/>
  <c r="U27"/>
  <c r="U30" s="1"/>
  <c r="Z31"/>
  <c r="Z32"/>
  <c r="L1" i="3"/>
  <c r="V122"/>
  <c r="W122"/>
  <c r="X122"/>
  <c r="V110"/>
  <c r="W110"/>
  <c r="X110"/>
  <c r="V98"/>
  <c r="W98"/>
  <c r="X98"/>
  <c r="V81"/>
  <c r="W81"/>
  <c r="X81"/>
  <c r="V59"/>
  <c r="W59"/>
  <c r="X59"/>
  <c r="Q7"/>
  <c r="R7"/>
  <c r="S7"/>
  <c r="T7"/>
  <c r="U7"/>
  <c r="V7"/>
  <c r="W7"/>
  <c r="X7"/>
  <c r="U122"/>
  <c r="T122"/>
  <c r="S122"/>
  <c r="R122"/>
  <c r="Q122"/>
  <c r="P122"/>
  <c r="O122"/>
  <c r="U110"/>
  <c r="T110"/>
  <c r="S110"/>
  <c r="R110"/>
  <c r="Q110"/>
  <c r="P110"/>
  <c r="O110"/>
  <c r="U98"/>
  <c r="T98"/>
  <c r="S98"/>
  <c r="R98"/>
  <c r="Q98"/>
  <c r="P98"/>
  <c r="O98"/>
  <c r="U81"/>
  <c r="T81"/>
  <c r="S81"/>
  <c r="R81"/>
  <c r="Q81"/>
  <c r="P81"/>
  <c r="O81"/>
  <c r="U59"/>
  <c r="T59"/>
  <c r="S59"/>
  <c r="R59"/>
  <c r="Q59"/>
  <c r="P59"/>
  <c r="O59"/>
  <c r="U9"/>
  <c r="U128"/>
  <c r="U127"/>
  <c r="U126"/>
  <c r="U125"/>
  <c r="U124"/>
  <c r="P128"/>
  <c r="P127"/>
  <c r="P126"/>
  <c r="U116"/>
  <c r="U115"/>
  <c r="U114"/>
  <c r="U113"/>
  <c r="U112"/>
  <c r="P116"/>
  <c r="P115"/>
  <c r="P114"/>
  <c r="P112"/>
  <c r="U104"/>
  <c r="U103"/>
  <c r="U102"/>
  <c r="U101"/>
  <c r="U100"/>
  <c r="P104"/>
  <c r="P103"/>
  <c r="P102"/>
  <c r="U88"/>
  <c r="U87"/>
  <c r="U86"/>
  <c r="U85"/>
  <c r="U84"/>
  <c r="U83"/>
  <c r="P87"/>
  <c r="P86"/>
  <c r="P85"/>
  <c r="P83"/>
  <c r="U66"/>
  <c r="U65"/>
  <c r="U64"/>
  <c r="U63"/>
  <c r="U62"/>
  <c r="U61"/>
  <c r="P65"/>
  <c r="P64"/>
  <c r="P63"/>
  <c r="P61"/>
  <c r="U45"/>
  <c r="P13"/>
  <c r="P11"/>
  <c r="P10"/>
  <c r="P9"/>
  <c r="U13"/>
  <c r="U12"/>
  <c r="U11"/>
  <c r="U10"/>
  <c r="P7"/>
  <c r="O7"/>
  <c r="Q72"/>
  <c r="Q70"/>
  <c r="Q69"/>
  <c r="Q68"/>
  <c r="Y3"/>
  <c r="Q3"/>
  <c r="Y5"/>
  <c r="D113"/>
  <c r="D102"/>
  <c r="D128"/>
  <c r="D127"/>
  <c r="D126"/>
  <c r="D125"/>
  <c r="D124"/>
  <c r="D116"/>
  <c r="D115"/>
  <c r="D114"/>
  <c r="D112"/>
  <c r="D104"/>
  <c r="D103"/>
  <c r="D101"/>
  <c r="D100"/>
  <c r="L1" i="4"/>
  <c r="U36"/>
  <c r="P8"/>
  <c r="J8" s="1"/>
  <c r="U82"/>
  <c r="U66"/>
  <c r="U65"/>
  <c r="U64"/>
  <c r="U63"/>
  <c r="U62"/>
  <c r="U61"/>
  <c r="P65"/>
  <c r="P64"/>
  <c r="P63"/>
  <c r="U202"/>
  <c r="P202"/>
  <c r="U201"/>
  <c r="U200"/>
  <c r="P200"/>
  <c r="U199"/>
  <c r="U198"/>
  <c r="X196"/>
  <c r="W196"/>
  <c r="V196"/>
  <c r="U196"/>
  <c r="T196"/>
  <c r="S196"/>
  <c r="R196"/>
  <c r="Q196"/>
  <c r="P196"/>
  <c r="O196"/>
  <c r="U190"/>
  <c r="P190"/>
  <c r="U189"/>
  <c r="U188"/>
  <c r="P188"/>
  <c r="U187"/>
  <c r="U186"/>
  <c r="X184"/>
  <c r="W184"/>
  <c r="V184"/>
  <c r="U184"/>
  <c r="T184"/>
  <c r="S184"/>
  <c r="R184"/>
  <c r="Q184"/>
  <c r="P184"/>
  <c r="O184"/>
  <c r="U177"/>
  <c r="P177"/>
  <c r="U176"/>
  <c r="P176"/>
  <c r="U175"/>
  <c r="P175"/>
  <c r="U174"/>
  <c r="U173"/>
  <c r="X171"/>
  <c r="W171"/>
  <c r="V171"/>
  <c r="U171"/>
  <c r="T171"/>
  <c r="S171"/>
  <c r="R171"/>
  <c r="Q171"/>
  <c r="P171"/>
  <c r="O171"/>
  <c r="U164"/>
  <c r="P164"/>
  <c r="U163"/>
  <c r="U162"/>
  <c r="P162"/>
  <c r="U161"/>
  <c r="U160"/>
  <c r="X158"/>
  <c r="W158"/>
  <c r="V158"/>
  <c r="U158"/>
  <c r="S158"/>
  <c r="R158"/>
  <c r="Q158"/>
  <c r="P158"/>
  <c r="O158"/>
  <c r="U142"/>
  <c r="U141"/>
  <c r="P141"/>
  <c r="U140"/>
  <c r="U139"/>
  <c r="P139"/>
  <c r="U138"/>
  <c r="U137"/>
  <c r="X135"/>
  <c r="W135"/>
  <c r="V135"/>
  <c r="U135"/>
  <c r="S135"/>
  <c r="R135"/>
  <c r="Q135"/>
  <c r="P135"/>
  <c r="O135"/>
  <c r="U114"/>
  <c r="U113"/>
  <c r="P113"/>
  <c r="U112"/>
  <c r="P112"/>
  <c r="U111"/>
  <c r="P111"/>
  <c r="U110"/>
  <c r="U109"/>
  <c r="P109"/>
  <c r="X107"/>
  <c r="W107"/>
  <c r="V107"/>
  <c r="U107"/>
  <c r="S107"/>
  <c r="R107"/>
  <c r="Q107"/>
  <c r="O107"/>
  <c r="U84"/>
  <c r="U83"/>
  <c r="P83"/>
  <c r="P82"/>
  <c r="U81"/>
  <c r="P81"/>
  <c r="U80"/>
  <c r="U79"/>
  <c r="P79"/>
  <c r="X77"/>
  <c r="W77"/>
  <c r="V77"/>
  <c r="U77"/>
  <c r="S77"/>
  <c r="R77"/>
  <c r="Q77"/>
  <c r="O77"/>
  <c r="X59"/>
  <c r="W59"/>
  <c r="V59"/>
  <c r="U59"/>
  <c r="S59"/>
  <c r="R59"/>
  <c r="Q59"/>
  <c r="P59"/>
  <c r="O59"/>
  <c r="U50"/>
  <c r="P50"/>
  <c r="U49"/>
  <c r="P49"/>
  <c r="U48"/>
  <c r="P48"/>
  <c r="U47"/>
  <c r="P47"/>
  <c r="U46"/>
  <c r="U45"/>
  <c r="X43"/>
  <c r="W43"/>
  <c r="V43"/>
  <c r="U43"/>
  <c r="S43"/>
  <c r="R43"/>
  <c r="Q43"/>
  <c r="P43"/>
  <c r="O43"/>
  <c r="D202"/>
  <c r="D201"/>
  <c r="D200"/>
  <c r="D199"/>
  <c r="D198"/>
  <c r="D190"/>
  <c r="D189"/>
  <c r="D188"/>
  <c r="D187"/>
  <c r="D186"/>
  <c r="D177"/>
  <c r="D176"/>
  <c r="D175"/>
  <c r="D174"/>
  <c r="D173"/>
  <c r="D164"/>
  <c r="D163"/>
  <c r="D162"/>
  <c r="D161"/>
  <c r="D160"/>
  <c r="D35"/>
  <c r="D34"/>
  <c r="D33"/>
  <c r="D32"/>
  <c r="D31"/>
  <c r="D17"/>
  <c r="D16"/>
  <c r="D15"/>
  <c r="D14"/>
  <c r="D13"/>
  <c r="P35"/>
  <c r="P34"/>
  <c r="P33"/>
  <c r="U35"/>
  <c r="U34"/>
  <c r="U33"/>
  <c r="U32"/>
  <c r="U31"/>
  <c r="Y29"/>
  <c r="X29"/>
  <c r="W29"/>
  <c r="V29"/>
  <c r="U29"/>
  <c r="S29"/>
  <c r="R29"/>
  <c r="Q29"/>
  <c r="P29"/>
  <c r="O29"/>
  <c r="U18"/>
  <c r="U17"/>
  <c r="U16"/>
  <c r="U15"/>
  <c r="U14"/>
  <c r="U13"/>
  <c r="P17"/>
  <c r="P16"/>
  <c r="P15"/>
  <c r="X11"/>
  <c r="W11"/>
  <c r="V11"/>
  <c r="U11"/>
  <c r="T11"/>
  <c r="S11"/>
  <c r="R11"/>
  <c r="Q11"/>
  <c r="P11"/>
  <c r="O11"/>
  <c r="V7"/>
  <c r="V5"/>
  <c r="V4"/>
  <c r="V3"/>
  <c r="Y44"/>
  <c r="Y43"/>
  <c r="M3"/>
  <c r="L1" i="6"/>
  <c r="U14"/>
  <c r="U13"/>
  <c r="P13"/>
  <c r="U12"/>
  <c r="P12"/>
  <c r="U11"/>
  <c r="P11"/>
  <c r="U10"/>
  <c r="U9"/>
  <c r="P9"/>
  <c r="W7"/>
  <c r="V7"/>
  <c r="U7"/>
  <c r="T7"/>
  <c r="S7"/>
  <c r="R7"/>
  <c r="Q7"/>
  <c r="P7"/>
  <c r="O7"/>
  <c r="P41"/>
  <c r="O41"/>
  <c r="U48"/>
  <c r="U47"/>
  <c r="P47"/>
  <c r="U46"/>
  <c r="P46"/>
  <c r="U45"/>
  <c r="P45"/>
  <c r="U44"/>
  <c r="U43"/>
  <c r="P43"/>
  <c r="W41"/>
  <c r="V41"/>
  <c r="U41"/>
  <c r="T41"/>
  <c r="S41"/>
  <c r="R41"/>
  <c r="Q41"/>
  <c r="U28"/>
  <c r="U27"/>
  <c r="P27"/>
  <c r="U26"/>
  <c r="P26"/>
  <c r="U25"/>
  <c r="P25"/>
  <c r="U24"/>
  <c r="P24"/>
  <c r="U23"/>
  <c r="W21"/>
  <c r="V21"/>
  <c r="U21"/>
  <c r="T21"/>
  <c r="S21"/>
  <c r="R21"/>
  <c r="Q21"/>
  <c r="P21"/>
  <c r="O21"/>
  <c r="O78"/>
  <c r="W62"/>
  <c r="V62"/>
  <c r="U62"/>
  <c r="T62"/>
  <c r="S62"/>
  <c r="R62"/>
  <c r="Q62"/>
  <c r="P62"/>
  <c r="O62"/>
  <c r="Y78"/>
  <c r="P78"/>
  <c r="Q78"/>
  <c r="R78"/>
  <c r="S78"/>
  <c r="T78"/>
  <c r="U78"/>
  <c r="V78"/>
  <c r="W78"/>
  <c r="U85"/>
  <c r="U84"/>
  <c r="U83"/>
  <c r="U82"/>
  <c r="U81"/>
  <c r="U80"/>
  <c r="P84"/>
  <c r="P83"/>
  <c r="P82"/>
  <c r="U69"/>
  <c r="U68"/>
  <c r="U67"/>
  <c r="U66"/>
  <c r="U65"/>
  <c r="U64"/>
  <c r="P68"/>
  <c r="P67"/>
  <c r="P66"/>
  <c r="P64"/>
  <c r="M3"/>
  <c r="V3"/>
  <c r="V4"/>
  <c r="L1" i="12"/>
  <c r="D120"/>
  <c r="X131"/>
  <c r="W131"/>
  <c r="V131"/>
  <c r="U131"/>
  <c r="T131"/>
  <c r="S131"/>
  <c r="R131"/>
  <c r="Q131"/>
  <c r="P131"/>
  <c r="O131"/>
  <c r="X114"/>
  <c r="W114"/>
  <c r="V114"/>
  <c r="U114"/>
  <c r="T114"/>
  <c r="S114"/>
  <c r="R114"/>
  <c r="Q114"/>
  <c r="P114"/>
  <c r="O114"/>
  <c r="X85"/>
  <c r="W85"/>
  <c r="V85"/>
  <c r="U85"/>
  <c r="T85"/>
  <c r="S85"/>
  <c r="R85"/>
  <c r="Q85"/>
  <c r="P85"/>
  <c r="O85"/>
  <c r="X74"/>
  <c r="W74"/>
  <c r="V74"/>
  <c r="U74"/>
  <c r="T74"/>
  <c r="S74"/>
  <c r="R74"/>
  <c r="Q74"/>
  <c r="P74"/>
  <c r="O74"/>
  <c r="X63"/>
  <c r="W63"/>
  <c r="V63"/>
  <c r="U63"/>
  <c r="T63"/>
  <c r="S63"/>
  <c r="R63"/>
  <c r="Q63"/>
  <c r="P63"/>
  <c r="O63"/>
  <c r="Y51"/>
  <c r="X51"/>
  <c r="W51"/>
  <c r="V51"/>
  <c r="U51"/>
  <c r="S51"/>
  <c r="R51"/>
  <c r="Q51"/>
  <c r="P51"/>
  <c r="O51"/>
  <c r="S40"/>
  <c r="R40"/>
  <c r="Q40"/>
  <c r="P40"/>
  <c r="S30"/>
  <c r="R30"/>
  <c r="Q30"/>
  <c r="P30"/>
  <c r="O30"/>
  <c r="P7"/>
  <c r="Q7"/>
  <c r="R7"/>
  <c r="S7"/>
  <c r="P17"/>
  <c r="Q17"/>
  <c r="R17"/>
  <c r="S17"/>
  <c r="O7"/>
  <c r="U137"/>
  <c r="U136"/>
  <c r="U135"/>
  <c r="U134"/>
  <c r="U133"/>
  <c r="P137"/>
  <c r="P136"/>
  <c r="P135"/>
  <c r="U121"/>
  <c r="U120"/>
  <c r="U119"/>
  <c r="U118"/>
  <c r="U117"/>
  <c r="U116"/>
  <c r="P118"/>
  <c r="P117"/>
  <c r="P116"/>
  <c r="U91"/>
  <c r="U90"/>
  <c r="U89"/>
  <c r="U88"/>
  <c r="U87"/>
  <c r="P91"/>
  <c r="P90"/>
  <c r="P89"/>
  <c r="P87"/>
  <c r="U80"/>
  <c r="U79"/>
  <c r="U78"/>
  <c r="U77"/>
  <c r="U76"/>
  <c r="P80"/>
  <c r="P78"/>
  <c r="P77"/>
  <c r="U69"/>
  <c r="U68"/>
  <c r="U67"/>
  <c r="U66"/>
  <c r="U65"/>
  <c r="P69"/>
  <c r="P68"/>
  <c r="P67"/>
  <c r="U57"/>
  <c r="U56"/>
  <c r="U55"/>
  <c r="U54"/>
  <c r="U53"/>
  <c r="P57"/>
  <c r="P55"/>
  <c r="P53"/>
  <c r="P46"/>
  <c r="P44"/>
  <c r="P42"/>
  <c r="P36"/>
  <c r="P34"/>
  <c r="P32"/>
  <c r="P19"/>
  <c r="P23"/>
  <c r="P13"/>
  <c r="P22"/>
  <c r="P21"/>
  <c r="P11"/>
  <c r="P10"/>
  <c r="P9"/>
  <c r="V6"/>
  <c r="V5"/>
  <c r="V4"/>
  <c r="V3"/>
  <c r="D137"/>
  <c r="D136"/>
  <c r="D135"/>
  <c r="D134"/>
  <c r="D133"/>
  <c r="D91"/>
  <c r="D90"/>
  <c r="D89"/>
  <c r="D88"/>
  <c r="D87"/>
  <c r="D80"/>
  <c r="D79"/>
  <c r="D78"/>
  <c r="D77"/>
  <c r="D76"/>
  <c r="D69"/>
  <c r="D68"/>
  <c r="D67"/>
  <c r="D66"/>
  <c r="D65"/>
  <c r="D57"/>
  <c r="D56"/>
  <c r="D55"/>
  <c r="D54"/>
  <c r="D53"/>
  <c r="D46"/>
  <c r="D45"/>
  <c r="D44"/>
  <c r="D43"/>
  <c r="D42"/>
  <c r="D35"/>
  <c r="D36"/>
  <c r="D34"/>
  <c r="D33"/>
  <c r="D32"/>
  <c r="D119"/>
  <c r="D118"/>
  <c r="D117"/>
  <c r="D116"/>
  <c r="D23"/>
  <c r="D22"/>
  <c r="D21"/>
  <c r="D20"/>
  <c r="D19"/>
  <c r="D9"/>
  <c r="D13"/>
  <c r="D12"/>
  <c r="D11"/>
  <c r="D10"/>
  <c r="V7" i="2"/>
  <c r="W7"/>
  <c r="X7"/>
  <c r="U107"/>
  <c r="O107"/>
  <c r="V107" s="1"/>
  <c r="P107"/>
  <c r="W107" s="1"/>
  <c r="Q107"/>
  <c r="X107" s="1"/>
  <c r="R107"/>
  <c r="Y107" s="1"/>
  <c r="U128"/>
  <c r="O128"/>
  <c r="V128" s="1"/>
  <c r="Q128"/>
  <c r="X128" s="1"/>
  <c r="R128"/>
  <c r="Y128" s="1"/>
  <c r="L1"/>
  <c r="P50"/>
  <c r="U111"/>
  <c r="U150"/>
  <c r="P150"/>
  <c r="U149"/>
  <c r="P149"/>
  <c r="U148"/>
  <c r="P148"/>
  <c r="U147"/>
  <c r="P147"/>
  <c r="U146"/>
  <c r="X144"/>
  <c r="W144"/>
  <c r="V144"/>
  <c r="U144"/>
  <c r="T144"/>
  <c r="S144"/>
  <c r="R144"/>
  <c r="Q144"/>
  <c r="P144"/>
  <c r="O144"/>
  <c r="U136"/>
  <c r="U135"/>
  <c r="U134"/>
  <c r="P134"/>
  <c r="U133"/>
  <c r="P133"/>
  <c r="U132"/>
  <c r="P132"/>
  <c r="U131"/>
  <c r="S128"/>
  <c r="U114"/>
  <c r="U113"/>
  <c r="P113"/>
  <c r="U112"/>
  <c r="P112"/>
  <c r="P111"/>
  <c r="U110"/>
  <c r="U109"/>
  <c r="S107"/>
  <c r="U97"/>
  <c r="U96"/>
  <c r="U95"/>
  <c r="P95"/>
  <c r="U94"/>
  <c r="P94"/>
  <c r="U93"/>
  <c r="U92"/>
  <c r="P92"/>
  <c r="X90"/>
  <c r="W90"/>
  <c r="V90"/>
  <c r="U90"/>
  <c r="T90"/>
  <c r="S90"/>
  <c r="R90"/>
  <c r="Q90"/>
  <c r="P90"/>
  <c r="O90"/>
  <c r="P83"/>
  <c r="P73"/>
  <c r="P82"/>
  <c r="P72"/>
  <c r="P81"/>
  <c r="P71"/>
  <c r="P69"/>
  <c r="S77"/>
  <c r="R77"/>
  <c r="Q77"/>
  <c r="P77"/>
  <c r="S67"/>
  <c r="R67"/>
  <c r="Q67"/>
  <c r="P67"/>
  <c r="O67"/>
  <c r="U62"/>
  <c r="P62"/>
  <c r="U61"/>
  <c r="P61"/>
  <c r="U60"/>
  <c r="P60"/>
  <c r="U59"/>
  <c r="U58"/>
  <c r="Y56"/>
  <c r="X56"/>
  <c r="W56"/>
  <c r="V56"/>
  <c r="U56"/>
  <c r="S56"/>
  <c r="R56"/>
  <c r="Q56"/>
  <c r="P56"/>
  <c r="O56"/>
  <c r="U45"/>
  <c r="U44"/>
  <c r="U43"/>
  <c r="P43"/>
  <c r="U42"/>
  <c r="P42"/>
  <c r="U41"/>
  <c r="P41"/>
  <c r="U40"/>
  <c r="P40"/>
  <c r="X38"/>
  <c r="W38"/>
  <c r="V38"/>
  <c r="U38"/>
  <c r="T38"/>
  <c r="S38"/>
  <c r="R38"/>
  <c r="Q38"/>
  <c r="O38"/>
  <c r="Q19"/>
  <c r="R19"/>
  <c r="S19"/>
  <c r="T19"/>
  <c r="U19"/>
  <c r="V19"/>
  <c r="W19"/>
  <c r="X19"/>
  <c r="U26"/>
  <c r="U25"/>
  <c r="U24"/>
  <c r="U23"/>
  <c r="U22"/>
  <c r="U21"/>
  <c r="P24"/>
  <c r="P23"/>
  <c r="P22"/>
  <c r="P21"/>
  <c r="U13"/>
  <c r="U12"/>
  <c r="U11"/>
  <c r="U10"/>
  <c r="U9"/>
  <c r="P13"/>
  <c r="P12"/>
  <c r="P11"/>
  <c r="D83"/>
  <c r="D150"/>
  <c r="D149"/>
  <c r="D148"/>
  <c r="D147"/>
  <c r="D146"/>
  <c r="D135"/>
  <c r="D134"/>
  <c r="D133"/>
  <c r="D132"/>
  <c r="D131"/>
  <c r="D96"/>
  <c r="D95"/>
  <c r="D94"/>
  <c r="D93"/>
  <c r="D92"/>
  <c r="D82"/>
  <c r="D81"/>
  <c r="D80"/>
  <c r="D79"/>
  <c r="D73"/>
  <c r="D72"/>
  <c r="D71"/>
  <c r="D70"/>
  <c r="D69"/>
  <c r="D62"/>
  <c r="D61"/>
  <c r="D60"/>
  <c r="D59"/>
  <c r="D58"/>
  <c r="D44"/>
  <c r="D43"/>
  <c r="D42"/>
  <c r="D41"/>
  <c r="D40"/>
  <c r="D25"/>
  <c r="D24"/>
  <c r="D23"/>
  <c r="D22"/>
  <c r="D21"/>
  <c r="D13"/>
  <c r="D12"/>
  <c r="D11"/>
  <c r="D10"/>
  <c r="D9"/>
  <c r="O19"/>
  <c r="U7"/>
  <c r="S7"/>
  <c r="R7"/>
  <c r="Q7"/>
  <c r="P7"/>
  <c r="O7"/>
  <c r="Y6"/>
  <c r="Y5"/>
  <c r="Y4"/>
  <c r="Y3"/>
  <c r="L1" i="16"/>
  <c r="X85"/>
  <c r="W85"/>
  <c r="V85"/>
  <c r="U85"/>
  <c r="T85"/>
  <c r="S85"/>
  <c r="R85"/>
  <c r="Q85"/>
  <c r="P85"/>
  <c r="O85"/>
  <c r="X65"/>
  <c r="W65"/>
  <c r="V65"/>
  <c r="U65"/>
  <c r="T65"/>
  <c r="S65"/>
  <c r="R65"/>
  <c r="Q65"/>
  <c r="P65"/>
  <c r="O65"/>
  <c r="X46"/>
  <c r="W46"/>
  <c r="V46"/>
  <c r="U46"/>
  <c r="T46"/>
  <c r="S46"/>
  <c r="R46"/>
  <c r="Q46"/>
  <c r="P46"/>
  <c r="O46"/>
  <c r="X35"/>
  <c r="W35"/>
  <c r="V35"/>
  <c r="U35"/>
  <c r="T35"/>
  <c r="S35"/>
  <c r="R35"/>
  <c r="Q35"/>
  <c r="P35"/>
  <c r="O35"/>
  <c r="Y5"/>
  <c r="Y4"/>
  <c r="Y3"/>
  <c r="L82" i="9"/>
  <c r="L85"/>
  <c r="L80"/>
  <c r="AD8"/>
  <c r="W8"/>
  <c r="X8"/>
  <c r="AC8"/>
  <c r="AB8"/>
  <c r="E1" i="14"/>
  <c r="D46" i="4"/>
  <c r="O16" i="7"/>
  <c r="D98" i="12"/>
  <c r="U75" i="9"/>
  <c r="T10"/>
  <c r="E55"/>
  <c r="X55" i="8" s="1"/>
  <c r="R55" s="1"/>
  <c r="V36" i="20"/>
  <c r="H34"/>
  <c r="H25"/>
  <c r="M67" i="33" l="1"/>
  <c r="Q74"/>
  <c r="R71"/>
  <c r="K61" i="9"/>
  <c r="K60"/>
  <c r="H57" i="33"/>
  <c r="K58" i="9"/>
  <c r="K65"/>
  <c r="D69" i="16"/>
  <c r="D67"/>
  <c r="D70"/>
  <c r="D71"/>
  <c r="D68"/>
  <c r="O31" i="8"/>
  <c r="K31" i="9" s="1"/>
  <c r="AC30"/>
  <c r="D45" i="4"/>
  <c r="Z59" i="9"/>
  <c r="AD44"/>
  <c r="Y27" i="20"/>
  <c r="D139" i="4"/>
  <c r="L102" i="2"/>
  <c r="D90" s="1"/>
  <c r="U39" i="8" s="1"/>
  <c r="O39" s="1"/>
  <c r="K39" i="9" s="1"/>
  <c r="X75"/>
  <c r="S61"/>
  <c r="AA86"/>
  <c r="R70"/>
  <c r="C70" s="1"/>
  <c r="P75"/>
  <c r="B75" s="1"/>
  <c r="O28" i="8"/>
  <c r="K28" i="9" s="1"/>
  <c r="U72"/>
  <c r="P55"/>
  <c r="B55" s="1"/>
  <c r="T75"/>
  <c r="Q63"/>
  <c r="S33"/>
  <c r="U59"/>
  <c r="AC73"/>
  <c r="AB40"/>
  <c r="U82" i="8"/>
  <c r="O82" s="1"/>
  <c r="K83" i="9" s="1"/>
  <c r="D26" i="6"/>
  <c r="D27"/>
  <c r="D101" i="12"/>
  <c r="D99"/>
  <c r="N20" i="7"/>
  <c r="W7" i="9" s="1"/>
  <c r="AB7" s="1"/>
  <c r="P49" i="22"/>
  <c r="P78" s="1"/>
  <c r="U54" i="8"/>
  <c r="O54" s="1"/>
  <c r="X52" i="9"/>
  <c r="AB74"/>
  <c r="Q42"/>
  <c r="U14"/>
  <c r="X21"/>
  <c r="V10"/>
  <c r="P70"/>
  <c r="B70" s="1"/>
  <c r="Z43"/>
  <c r="P74"/>
  <c r="B74" s="1"/>
  <c r="AB11"/>
  <c r="AD57"/>
  <c r="X26"/>
  <c r="W41"/>
  <c r="S7"/>
  <c r="R35"/>
  <c r="C35" s="1"/>
  <c r="AD75"/>
  <c r="S37"/>
  <c r="R11"/>
  <c r="C11" s="1"/>
  <c r="AA30"/>
  <c r="V30"/>
  <c r="P48"/>
  <c r="B48" s="1"/>
  <c r="Q83"/>
  <c r="T29"/>
  <c r="Z20"/>
  <c r="AB22"/>
  <c r="AB68"/>
  <c r="Q23"/>
  <c r="R28"/>
  <c r="C28" s="1"/>
  <c r="Q43"/>
  <c r="R29"/>
  <c r="C29" s="1"/>
  <c r="Y9"/>
  <c r="Z14"/>
  <c r="R68"/>
  <c r="C68" s="1"/>
  <c r="AD46"/>
  <c r="AD11"/>
  <c r="Q36"/>
  <c r="Z31"/>
  <c r="AA46"/>
  <c r="Y28"/>
  <c r="AB61"/>
  <c r="R33"/>
  <c r="C33" s="1"/>
  <c r="Q56"/>
  <c r="Y31"/>
  <c r="U79"/>
  <c r="S66"/>
  <c r="Y54"/>
  <c r="V54"/>
  <c r="T43"/>
  <c r="T63"/>
  <c r="R81"/>
  <c r="R77"/>
  <c r="C77" s="1"/>
  <c r="AB59"/>
  <c r="Y20"/>
  <c r="X56"/>
  <c r="S86"/>
  <c r="Y75"/>
  <c r="S69"/>
  <c r="AD32"/>
  <c r="S81"/>
  <c r="AB73"/>
  <c r="U84"/>
  <c r="X64"/>
  <c r="AA60"/>
  <c r="T61"/>
  <c r="W14"/>
  <c r="AA72"/>
  <c r="Z16"/>
  <c r="P18"/>
  <c r="B18" s="1"/>
  <c r="R27"/>
  <c r="C27" s="1"/>
  <c r="R54"/>
  <c r="C54" s="1"/>
  <c r="Q9"/>
  <c r="T59"/>
  <c r="X63"/>
  <c r="W57"/>
  <c r="T26"/>
  <c r="X12"/>
  <c r="R50"/>
  <c r="C50" s="1"/>
  <c r="Z73"/>
  <c r="AD39"/>
  <c r="Y63"/>
  <c r="W64"/>
  <c r="W23"/>
  <c r="V61"/>
  <c r="P25"/>
  <c r="B25" s="1"/>
  <c r="V74"/>
  <c r="S68"/>
  <c r="V38"/>
  <c r="Y64"/>
  <c r="P59"/>
  <c r="B59" s="1"/>
  <c r="V52"/>
  <c r="R37"/>
  <c r="C37" s="1"/>
  <c r="Y58"/>
  <c r="Z75"/>
  <c r="V23"/>
  <c r="R87"/>
  <c r="C87" s="1"/>
  <c r="AD45"/>
  <c r="P62"/>
  <c r="Z17"/>
  <c r="T49"/>
  <c r="AB79"/>
  <c r="S26"/>
  <c r="V25"/>
  <c r="AC61"/>
  <c r="AA31"/>
  <c r="AD52"/>
  <c r="AC54"/>
  <c r="T14"/>
  <c r="AA41"/>
  <c r="AD27"/>
  <c r="Y10"/>
  <c r="W46"/>
  <c r="P33"/>
  <c r="B33" s="1"/>
  <c r="AD59"/>
  <c r="AC84"/>
  <c r="Q21"/>
  <c r="X28"/>
  <c r="AB30"/>
  <c r="R30"/>
  <c r="C30" s="1"/>
  <c r="U87"/>
  <c r="S62"/>
  <c r="S56"/>
  <c r="V75"/>
  <c r="S12"/>
  <c r="AB52"/>
  <c r="Q72"/>
  <c r="X83"/>
  <c r="S73"/>
  <c r="U62"/>
  <c r="AA40"/>
  <c r="AB15"/>
  <c r="Q64"/>
  <c r="V57"/>
  <c r="X79"/>
  <c r="AA59"/>
  <c r="U54"/>
  <c r="U43"/>
  <c r="U27"/>
  <c r="P54"/>
  <c r="B54" s="1"/>
  <c r="Q12"/>
  <c r="AA53"/>
  <c r="V73"/>
  <c r="S18"/>
  <c r="U39"/>
  <c r="AA64"/>
  <c r="Q41"/>
  <c r="Z53"/>
  <c r="S47"/>
  <c r="P16"/>
  <c r="B16" s="1"/>
  <c r="P38"/>
  <c r="B38" s="1"/>
  <c r="Z68"/>
  <c r="V21"/>
  <c r="R12"/>
  <c r="C12" s="1"/>
  <c r="AB72"/>
  <c r="AA15"/>
  <c r="Y72"/>
  <c r="AD86"/>
  <c r="AB84"/>
  <c r="P35"/>
  <c r="B35" s="1"/>
  <c r="R9"/>
  <c r="C9" s="1"/>
  <c r="Q55"/>
  <c r="AB21"/>
  <c r="U25"/>
  <c r="T45"/>
  <c r="Q35"/>
  <c r="X38"/>
  <c r="Q25"/>
  <c r="S46"/>
  <c r="Q53"/>
  <c r="AD79"/>
  <c r="AD13"/>
  <c r="AC72"/>
  <c r="AC57"/>
  <c r="U31"/>
  <c r="R23"/>
  <c r="C23" s="1"/>
  <c r="R31"/>
  <c r="C31" s="1"/>
  <c r="AA9"/>
  <c r="Q32"/>
  <c r="V86"/>
  <c r="AA58"/>
  <c r="Z57"/>
  <c r="AA12"/>
  <c r="Q80"/>
  <c r="S44"/>
  <c r="S49"/>
  <c r="S87"/>
  <c r="AA57"/>
  <c r="Z54"/>
  <c r="S20"/>
  <c r="Y41"/>
  <c r="R79"/>
  <c r="C79" s="1"/>
  <c r="S54"/>
  <c r="V59"/>
  <c r="W11"/>
  <c r="X72"/>
  <c r="V43"/>
  <c r="AC21"/>
  <c r="X62"/>
  <c r="AB54"/>
  <c r="U68"/>
  <c r="Y43"/>
  <c r="W32"/>
  <c r="Q17"/>
  <c r="Z27"/>
  <c r="U58"/>
  <c r="T73"/>
  <c r="V15"/>
  <c r="AA16"/>
  <c r="R17"/>
  <c r="C17" s="1"/>
  <c r="Q16"/>
  <c r="AA10"/>
  <c r="Z26"/>
  <c r="W58"/>
  <c r="Y22"/>
  <c r="AA43"/>
  <c r="R48"/>
  <c r="C48" s="1"/>
  <c r="S21"/>
  <c r="P28"/>
  <c r="B28" s="1"/>
  <c r="AA20"/>
  <c r="P46"/>
  <c r="B46" s="1"/>
  <c r="U40"/>
  <c r="Q46"/>
  <c r="Z40"/>
  <c r="T44"/>
  <c r="R34"/>
  <c r="C34" s="1"/>
  <c r="P45"/>
  <c r="B45" s="1"/>
  <c r="T38"/>
  <c r="R36"/>
  <c r="C36" s="1"/>
  <c r="AB63"/>
  <c r="AC40"/>
  <c r="S50"/>
  <c r="R69"/>
  <c r="C69" s="1"/>
  <c r="R51"/>
  <c r="C51" s="1"/>
  <c r="AB17"/>
  <c r="P56"/>
  <c r="B56" s="1"/>
  <c r="Q62"/>
  <c r="Q59"/>
  <c r="V29"/>
  <c r="Y60"/>
  <c r="Y68"/>
  <c r="Z60"/>
  <c r="Y56"/>
  <c r="T41"/>
  <c r="AB23"/>
  <c r="S38"/>
  <c r="U53"/>
  <c r="AA61"/>
  <c r="W59"/>
  <c r="X40"/>
  <c r="P8"/>
  <c r="R64"/>
  <c r="C64" s="1"/>
  <c r="W73"/>
  <c r="T72"/>
  <c r="W17"/>
  <c r="X16"/>
  <c r="Z28"/>
  <c r="P22"/>
  <c r="B22" s="1"/>
  <c r="W15"/>
  <c r="AD26"/>
  <c r="X54"/>
  <c r="U21"/>
  <c r="P41"/>
  <c r="B41" s="1"/>
  <c r="Y7"/>
  <c r="AD7" s="1"/>
  <c r="Y15"/>
  <c r="Z72"/>
  <c r="R67"/>
  <c r="C67" s="1"/>
  <c r="Y26"/>
  <c r="AA52"/>
  <c r="U83"/>
  <c r="T62"/>
  <c r="V83"/>
  <c r="Y52"/>
  <c r="S28"/>
  <c r="W75"/>
  <c r="AD62"/>
  <c r="Z32"/>
  <c r="Q18"/>
  <c r="AD9"/>
  <c r="U7"/>
  <c r="R66"/>
  <c r="C66" s="1"/>
  <c r="AA26"/>
  <c r="AA23"/>
  <c r="AD73"/>
  <c r="AB75"/>
  <c r="P86"/>
  <c r="B86" s="1"/>
  <c r="W87"/>
  <c r="AA68"/>
  <c r="W54"/>
  <c r="X25"/>
  <c r="AA13"/>
  <c r="V68"/>
  <c r="U9"/>
  <c r="Z39"/>
  <c r="R26"/>
  <c r="C26" s="1"/>
  <c r="P50"/>
  <c r="B50" s="1"/>
  <c r="R13"/>
  <c r="C13" s="1"/>
  <c r="AA83"/>
  <c r="AA49"/>
  <c r="AD31"/>
  <c r="T15"/>
  <c r="R74"/>
  <c r="C74" s="1"/>
  <c r="AB10"/>
  <c r="AC56"/>
  <c r="P40"/>
  <c r="B40" s="1"/>
  <c r="P77"/>
  <c r="B77" s="1"/>
  <c r="P21"/>
  <c r="B21" s="1"/>
  <c r="D61" i="3"/>
  <c r="D65"/>
  <c r="D87"/>
  <c r="D64"/>
  <c r="E5" i="31"/>
  <c r="K114" i="30"/>
  <c r="J114"/>
  <c r="J115" s="1"/>
  <c r="K124" s="1"/>
  <c r="K131" s="1"/>
  <c r="S72" i="22"/>
  <c r="E28" i="27"/>
  <c r="S65" i="9"/>
  <c r="R43"/>
  <c r="C43" s="1"/>
  <c r="P65"/>
  <c r="B65" s="1"/>
  <c r="P80"/>
  <c r="B80" s="1"/>
  <c r="AB29"/>
  <c r="X14"/>
  <c r="Q74"/>
  <c r="AC32"/>
  <c r="AC45"/>
  <c r="P60"/>
  <c r="B60" s="1"/>
  <c r="S17"/>
  <c r="W43"/>
  <c r="AC11"/>
  <c r="Z13"/>
  <c r="P15"/>
  <c r="B15" s="1"/>
  <c r="X29"/>
  <c r="Z11"/>
  <c r="Q50"/>
  <c r="AD38"/>
  <c r="AB57"/>
  <c r="R55"/>
  <c r="C55" s="1"/>
  <c r="R78"/>
  <c r="C78" s="1"/>
  <c r="X17"/>
  <c r="AA27"/>
  <c r="V22"/>
  <c r="R14"/>
  <c r="C14" s="1"/>
  <c r="P69"/>
  <c r="B69" s="1"/>
  <c r="X31"/>
  <c r="AC12"/>
  <c r="Q66"/>
  <c r="S30"/>
  <c r="Y49"/>
  <c r="R58"/>
  <c r="C58" s="1"/>
  <c r="U20"/>
  <c r="P23"/>
  <c r="B23" s="1"/>
  <c r="V49"/>
  <c r="Q73"/>
  <c r="U38"/>
  <c r="R45"/>
  <c r="C45" s="1"/>
  <c r="U17"/>
  <c r="Q30"/>
  <c r="V28"/>
  <c r="Q75"/>
  <c r="AD61"/>
  <c r="Q52"/>
  <c r="P87"/>
  <c r="B87" s="1"/>
  <c r="R75"/>
  <c r="C75" s="1"/>
  <c r="AC53"/>
  <c r="V11"/>
  <c r="Q20"/>
  <c r="AD56"/>
  <c r="AB49"/>
  <c r="Y11"/>
  <c r="S23"/>
  <c r="P26"/>
  <c r="B26" s="1"/>
  <c r="Z46"/>
  <c r="AD16"/>
  <c r="Q33"/>
  <c r="AA45"/>
  <c r="AB44"/>
  <c r="S10"/>
  <c r="Y32"/>
  <c r="P73"/>
  <c r="B73" s="1"/>
  <c r="X44"/>
  <c r="AD10"/>
  <c r="Q11"/>
  <c r="X46"/>
  <c r="X10"/>
  <c r="R53"/>
  <c r="C53" s="1"/>
  <c r="R10"/>
  <c r="C10" s="1"/>
  <c r="AC74"/>
  <c r="P47"/>
  <c r="B47" s="1"/>
  <c r="AB12"/>
  <c r="T46"/>
  <c r="AD84"/>
  <c r="AB46"/>
  <c r="R86"/>
  <c r="C86" s="1"/>
  <c r="U41"/>
  <c r="AD20"/>
  <c r="X45"/>
  <c r="P79"/>
  <c r="P66"/>
  <c r="B66" s="1"/>
  <c r="P29"/>
  <c r="W28"/>
  <c r="Z49"/>
  <c r="R72"/>
  <c r="C72" s="1"/>
  <c r="AD21"/>
  <c r="Q84"/>
  <c r="AC38"/>
  <c r="AB26"/>
  <c r="AC86"/>
  <c r="Z38"/>
  <c r="P64"/>
  <c r="B64" s="1"/>
  <c r="P78"/>
  <c r="B78" s="1"/>
  <c r="V44"/>
  <c r="W25"/>
  <c r="R61"/>
  <c r="C61" s="1"/>
  <c r="X30"/>
  <c r="R15"/>
  <c r="C15" s="1"/>
  <c r="Q78"/>
  <c r="P43"/>
  <c r="B43" s="1"/>
  <c r="T11"/>
  <c r="Q13"/>
  <c r="AC41"/>
  <c r="U22"/>
  <c r="T20"/>
  <c r="Q76"/>
  <c r="S41"/>
  <c r="T25"/>
  <c r="P9"/>
  <c r="AD41"/>
  <c r="R39"/>
  <c r="C39" s="1"/>
  <c r="AA38"/>
  <c r="AD83"/>
  <c r="U45"/>
  <c r="P49"/>
  <c r="B49" s="1"/>
  <c r="AB62"/>
  <c r="AC87"/>
  <c r="U29"/>
  <c r="AC79"/>
  <c r="X41"/>
  <c r="AC58"/>
  <c r="P52"/>
  <c r="R84"/>
  <c r="C84" s="1"/>
  <c r="P42"/>
  <c r="B42" s="1"/>
  <c r="Z83"/>
  <c r="T84"/>
  <c r="X59"/>
  <c r="S74"/>
  <c r="Y83"/>
  <c r="S60"/>
  <c r="U73"/>
  <c r="Z79"/>
  <c r="S59"/>
  <c r="T68"/>
  <c r="W21"/>
  <c r="S71"/>
  <c r="Z23"/>
  <c r="W72"/>
  <c r="T39"/>
  <c r="X27"/>
  <c r="W13"/>
  <c r="R76"/>
  <c r="C76" s="1"/>
  <c r="W40"/>
  <c r="Q69"/>
  <c r="Z45"/>
  <c r="AB9"/>
  <c r="Q10"/>
  <c r="AB56"/>
  <c r="Q47"/>
  <c r="AA79"/>
  <c r="AA87"/>
  <c r="T79"/>
  <c r="S52"/>
  <c r="W74"/>
  <c r="X84"/>
  <c r="W60"/>
  <c r="S70"/>
  <c r="S83"/>
  <c r="X60"/>
  <c r="Z61"/>
  <c r="X15"/>
  <c r="AC42"/>
  <c r="R18"/>
  <c r="C18" s="1"/>
  <c r="Q38"/>
  <c r="AC44"/>
  <c r="AB45"/>
  <c r="Q27"/>
  <c r="R85"/>
  <c r="C85" s="1"/>
  <c r="W45"/>
  <c r="S11"/>
  <c r="S82"/>
  <c r="Z86"/>
  <c r="Y53"/>
  <c r="S63"/>
  <c r="AA62"/>
  <c r="Z56"/>
  <c r="Z64"/>
  <c r="Y62"/>
  <c r="T53"/>
  <c r="AD68"/>
  <c r="P57"/>
  <c r="B57" s="1"/>
  <c r="W79"/>
  <c r="V12"/>
  <c r="V79"/>
  <c r="R47"/>
  <c r="C47" s="1"/>
  <c r="U16"/>
  <c r="V62"/>
  <c r="W16"/>
  <c r="S48"/>
  <c r="R8"/>
  <c r="C8" s="1"/>
  <c r="U26"/>
  <c r="AD49"/>
  <c r="V40"/>
  <c r="R38"/>
  <c r="C38" s="1"/>
  <c r="S24"/>
  <c r="X87"/>
  <c r="AC46"/>
  <c r="R71"/>
  <c r="C71" s="1"/>
  <c r="AC26"/>
  <c r="P44"/>
  <c r="W38"/>
  <c r="V31"/>
  <c r="R57"/>
  <c r="C57" s="1"/>
  <c r="X42"/>
  <c r="AB31"/>
  <c r="AC83"/>
  <c r="AC39"/>
  <c r="R62"/>
  <c r="C62" s="1"/>
  <c r="AB25"/>
  <c r="Y42"/>
  <c r="S40"/>
  <c r="R83"/>
  <c r="C83" s="1"/>
  <c r="AD17"/>
  <c r="AA28"/>
  <c r="R25"/>
  <c r="C25" s="1"/>
  <c r="AD12"/>
  <c r="V17"/>
  <c r="W9"/>
  <c r="S45"/>
  <c r="P51"/>
  <c r="AD22"/>
  <c r="S31"/>
  <c r="Q71"/>
  <c r="AC60"/>
  <c r="W22"/>
  <c r="Z44"/>
  <c r="AC14"/>
  <c r="AC31"/>
  <c r="AC64"/>
  <c r="R65"/>
  <c r="C65" s="1"/>
  <c r="AB16"/>
  <c r="Q22"/>
  <c r="AB43"/>
  <c r="Q67"/>
  <c r="AB58"/>
  <c r="R73"/>
  <c r="C73" s="1"/>
  <c r="Q39"/>
  <c r="P72"/>
  <c r="B72" s="1"/>
  <c r="Y39"/>
  <c r="AD60"/>
  <c r="AB32"/>
  <c r="AD28"/>
  <c r="Y29"/>
  <c r="U49"/>
  <c r="S25"/>
  <c r="Q45"/>
  <c r="AC62"/>
  <c r="T9"/>
  <c r="AC43"/>
  <c r="AC29"/>
  <c r="AC75"/>
  <c r="Q79"/>
  <c r="Y25"/>
  <c r="P71"/>
  <c r="B71" s="1"/>
  <c r="X11"/>
  <c r="X9"/>
  <c r="Y84"/>
  <c r="T56"/>
  <c r="W68"/>
  <c r="Z12"/>
  <c r="W61"/>
  <c r="S78"/>
  <c r="T60"/>
  <c r="X74"/>
  <c r="V39"/>
  <c r="Y16"/>
  <c r="Z15"/>
  <c r="X23"/>
  <c r="S32"/>
  <c r="Q57"/>
  <c r="Q82"/>
  <c r="R82"/>
  <c r="C82" s="1"/>
  <c r="AC13"/>
  <c r="AC28"/>
  <c r="S79"/>
  <c r="T86"/>
  <c r="U61"/>
  <c r="AA75"/>
  <c r="V56"/>
  <c r="V64"/>
  <c r="U57"/>
  <c r="S64"/>
  <c r="Z62"/>
  <c r="AA25"/>
  <c r="AC68"/>
  <c r="Q44"/>
  <c r="T17"/>
  <c r="AC15"/>
  <c r="T13"/>
  <c r="AC23"/>
  <c r="P53"/>
  <c r="B53" s="1"/>
  <c r="Y87"/>
  <c r="Y61"/>
  <c r="AA74"/>
  <c r="S58"/>
  <c r="U63"/>
  <c r="T58"/>
  <c r="Y86"/>
  <c r="AC17"/>
  <c r="U60"/>
  <c r="S55"/>
  <c r="S57"/>
  <c r="W83"/>
  <c r="X39"/>
  <c r="P14"/>
  <c r="B14" s="1"/>
  <c r="Y40"/>
  <c r="Q65"/>
  <c r="P32"/>
  <c r="B32" s="1"/>
  <c r="R22"/>
  <c r="C22" s="1"/>
  <c r="R63"/>
  <c r="C63" s="1"/>
  <c r="V27"/>
  <c r="U44"/>
  <c r="AD42"/>
  <c r="AA84"/>
  <c r="AA73"/>
  <c r="U86"/>
  <c r="T12"/>
  <c r="U12"/>
  <c r="X73"/>
  <c r="X20"/>
  <c r="R16"/>
  <c r="C16" s="1"/>
  <c r="Y27"/>
  <c r="T32"/>
  <c r="P12"/>
  <c r="B12" s="1"/>
  <c r="S15"/>
  <c r="Y57"/>
  <c r="AB53"/>
  <c r="AD58"/>
  <c r="S75"/>
  <c r="Z84"/>
  <c r="Y12"/>
  <c r="Z74"/>
  <c r="Y59"/>
  <c r="V63"/>
  <c r="V42"/>
  <c r="R21"/>
  <c r="C21" s="1"/>
  <c r="V26"/>
  <c r="S42"/>
  <c r="P30"/>
  <c r="B30" s="1"/>
  <c r="R32"/>
  <c r="C32" s="1"/>
  <c r="Z21"/>
  <c r="V60"/>
  <c r="Y74"/>
  <c r="T27"/>
  <c r="P10"/>
  <c r="B10" s="1"/>
  <c r="X58"/>
  <c r="S34"/>
  <c r="W42"/>
  <c r="T54"/>
  <c r="X43"/>
  <c r="Z42"/>
  <c r="V13"/>
  <c r="AB87"/>
  <c r="V16"/>
  <c r="R46"/>
  <c r="C46" s="1"/>
  <c r="T83"/>
  <c r="U32"/>
  <c r="AD23"/>
  <c r="Q37"/>
  <c r="AD53"/>
  <c r="AC27"/>
  <c r="W27"/>
  <c r="AC22"/>
  <c r="Q70"/>
  <c r="AB60"/>
  <c r="P68"/>
  <c r="B68" s="1"/>
  <c r="AA14"/>
  <c r="R52"/>
  <c r="C52" s="1"/>
  <c r="R60"/>
  <c r="C60" s="1"/>
  <c r="P81"/>
  <c r="V9"/>
  <c r="AD63"/>
  <c r="T40"/>
  <c r="AB86"/>
  <c r="Z9"/>
  <c r="P58"/>
  <c r="B58" s="1"/>
  <c r="Q61"/>
  <c r="S14"/>
  <c r="AC63"/>
  <c r="Y46"/>
  <c r="AA11"/>
  <c r="S29"/>
  <c r="AB27"/>
  <c r="Y45"/>
  <c r="Q68"/>
  <c r="V46"/>
  <c r="P20"/>
  <c r="B20" s="1"/>
  <c r="R80"/>
  <c r="C80" s="1"/>
  <c r="U11"/>
  <c r="W30"/>
  <c r="V20"/>
  <c r="Q28"/>
  <c r="X22"/>
  <c r="U30"/>
  <c r="Q86"/>
  <c r="Q49"/>
  <c r="Z25"/>
  <c r="Q85"/>
  <c r="S35"/>
  <c r="X13"/>
  <c r="AD14"/>
  <c r="Q14"/>
  <c r="AB39"/>
  <c r="Q60"/>
  <c r="W49"/>
  <c r="AD29"/>
  <c r="AD15"/>
  <c r="P37"/>
  <c r="B37" s="1"/>
  <c r="Y30"/>
  <c r="Z41"/>
  <c r="AD74"/>
  <c r="AC20"/>
  <c r="Y44"/>
  <c r="AA17"/>
  <c r="R59"/>
  <c r="C59" s="1"/>
  <c r="S85"/>
  <c r="AA54"/>
  <c r="X57"/>
  <c r="U52"/>
  <c r="T87"/>
  <c r="Z52"/>
  <c r="S76"/>
  <c r="U56"/>
  <c r="P63"/>
  <c r="B63" s="1"/>
  <c r="Y21"/>
  <c r="AA39"/>
  <c r="P13"/>
  <c r="B13" s="1"/>
  <c r="AD40"/>
  <c r="S19"/>
  <c r="P76"/>
  <c r="B76" s="1"/>
  <c r="U10"/>
  <c r="W84"/>
  <c r="W86"/>
  <c r="T64"/>
  <c r="W62"/>
  <c r="S53"/>
  <c r="Y73"/>
  <c r="W56"/>
  <c r="Z58"/>
  <c r="AA21"/>
  <c r="Q31"/>
  <c r="Y14"/>
  <c r="P61"/>
  <c r="B61" s="1"/>
  <c r="P67"/>
  <c r="B67" s="1"/>
  <c r="AC52"/>
  <c r="AB42"/>
  <c r="Y79"/>
  <c r="V87"/>
  <c r="W52"/>
  <c r="V72"/>
  <c r="W53"/>
  <c r="U74"/>
  <c r="AA56"/>
  <c r="Z30"/>
  <c r="Q77"/>
  <c r="U64"/>
  <c r="Z63"/>
  <c r="X68"/>
  <c r="S39"/>
  <c r="S77"/>
  <c r="AA42"/>
  <c r="P36"/>
  <c r="B36" s="1"/>
  <c r="T52"/>
  <c r="V58"/>
  <c r="W10"/>
  <c r="T31"/>
  <c r="X86"/>
  <c r="Z87"/>
  <c r="X53"/>
  <c r="T21"/>
  <c r="W12"/>
  <c r="V84"/>
  <c r="AA44"/>
  <c r="P82"/>
  <c r="B82" s="1"/>
  <c r="V53"/>
  <c r="R41"/>
  <c r="C41" s="1"/>
  <c r="W39"/>
  <c r="AD72"/>
  <c r="S84"/>
  <c r="T57"/>
  <c r="X61"/>
  <c r="Y23"/>
  <c r="T74"/>
  <c r="S36"/>
  <c r="AA32"/>
  <c r="V45"/>
  <c r="X32"/>
  <c r="P34"/>
  <c r="B34" s="1"/>
  <c r="W26"/>
  <c r="AC9"/>
  <c r="S72"/>
  <c r="S43"/>
  <c r="T16"/>
  <c r="Q34"/>
  <c r="Q26"/>
  <c r="AC49"/>
  <c r="AA63"/>
  <c r="AC25"/>
  <c r="Z29"/>
  <c r="W63"/>
  <c r="U23"/>
  <c r="Y17"/>
  <c r="AD30"/>
  <c r="U15"/>
  <c r="Y13"/>
  <c r="R44"/>
  <c r="C44" s="1"/>
  <c r="P84"/>
  <c r="B84" s="1"/>
  <c r="U42" i="8"/>
  <c r="O42" s="1"/>
  <c r="K42" i="9" s="1"/>
  <c r="P128" i="2"/>
  <c r="W128" s="1"/>
  <c r="U86" i="8"/>
  <c r="O86" s="1"/>
  <c r="K87" i="9" s="1"/>
  <c r="D81" i="6"/>
  <c r="D68"/>
  <c r="D67"/>
  <c r="U49" i="8"/>
  <c r="D109" i="2"/>
  <c r="D113"/>
  <c r="F56" i="6"/>
  <c r="D42" s="1"/>
  <c r="D46" s="1"/>
  <c r="S67" i="9"/>
  <c r="U24" i="8"/>
  <c r="O24" s="1"/>
  <c r="K24" i="9" s="1"/>
  <c r="D102" i="12"/>
  <c r="M123" i="4"/>
  <c r="D108" s="1"/>
  <c r="D109" s="1"/>
  <c r="M92"/>
  <c r="D78" s="1"/>
  <c r="D80" s="1"/>
  <c r="P38" i="2"/>
  <c r="U33" i="8"/>
  <c r="L32" i="22"/>
  <c r="M32" s="1"/>
  <c r="L11"/>
  <c r="L22" s="1"/>
  <c r="M22" s="1"/>
  <c r="L38"/>
  <c r="L39"/>
  <c r="U50" i="8"/>
  <c r="U48"/>
  <c r="O48" s="1"/>
  <c r="K48" i="9" s="1"/>
  <c r="D63" i="4"/>
  <c r="D62"/>
  <c r="D64"/>
  <c r="D65"/>
  <c r="D61"/>
  <c r="Y31" i="20"/>
  <c r="Y32"/>
  <c r="U31"/>
  <c r="V27"/>
  <c r="X27"/>
  <c r="U29"/>
  <c r="U32"/>
  <c r="W27"/>
  <c r="P19" i="2"/>
  <c r="U32" i="8"/>
  <c r="Q54" i="9"/>
  <c r="R24"/>
  <c r="C24" s="1"/>
  <c r="S27"/>
  <c r="U42"/>
  <c r="R49"/>
  <c r="C49" s="1"/>
  <c r="AA22"/>
  <c r="P24"/>
  <c r="B24" s="1"/>
  <c r="Q24"/>
  <c r="Z22"/>
  <c r="U28"/>
  <c r="R40"/>
  <c r="C40" s="1"/>
  <c r="P11"/>
  <c r="B11" s="1"/>
  <c r="T23"/>
  <c r="P83"/>
  <c r="B83" s="1"/>
  <c r="R56"/>
  <c r="C56" s="1"/>
  <c r="AB38"/>
  <c r="W20"/>
  <c r="Z10"/>
  <c r="Q58"/>
  <c r="W29"/>
  <c r="W44"/>
  <c r="Q81"/>
  <c r="S22"/>
  <c r="S16"/>
  <c r="S80"/>
  <c r="V32"/>
  <c r="P31"/>
  <c r="B31" s="1"/>
  <c r="P39"/>
  <c r="B39" s="1"/>
  <c r="R20"/>
  <c r="C20" s="1"/>
  <c r="T22"/>
  <c r="AD25"/>
  <c r="AB13"/>
  <c r="Q87"/>
  <c r="Q15"/>
  <c r="AD54"/>
  <c r="U46"/>
  <c r="U13"/>
  <c r="AB20"/>
  <c r="AB83"/>
  <c r="Y38"/>
  <c r="R42"/>
  <c r="C42" s="1"/>
  <c r="S13"/>
  <c r="P85"/>
  <c r="B85" s="1"/>
  <c r="P27"/>
  <c r="B27" s="1"/>
  <c r="T28"/>
  <c r="AB14"/>
  <c r="AD87"/>
  <c r="Q29"/>
  <c r="V41"/>
  <c r="AB64"/>
  <c r="AB41"/>
  <c r="AC16"/>
  <c r="T42"/>
  <c r="P17"/>
  <c r="B17" s="1"/>
  <c r="T30"/>
  <c r="W31"/>
  <c r="AD64"/>
  <c r="Q48"/>
  <c r="AD43"/>
  <c r="AC59"/>
  <c r="AB28"/>
  <c r="S9"/>
  <c r="AA29"/>
  <c r="X49"/>
  <c r="AC10"/>
  <c r="U55" i="8"/>
  <c r="O55" s="1"/>
  <c r="D63" i="3"/>
  <c r="D62"/>
  <c r="D65" i="6"/>
  <c r="U85" i="8"/>
  <c r="D64" i="6"/>
  <c r="D110" i="2"/>
  <c r="U40" i="8"/>
  <c r="D112" i="2"/>
  <c r="P9" i="7"/>
  <c r="I15"/>
  <c r="D85" i="3"/>
  <c r="D83"/>
  <c r="U57" i="8"/>
  <c r="D86" i="3"/>
  <c r="U71" i="8"/>
  <c r="O71" s="1"/>
  <c r="K71" i="9" s="1"/>
  <c r="D141" i="4"/>
  <c r="D137"/>
  <c r="D138"/>
  <c r="D48"/>
  <c r="D47"/>
  <c r="D49"/>
  <c r="D25" i="6"/>
  <c r="D23"/>
  <c r="D24"/>
  <c r="D82"/>
  <c r="D83"/>
  <c r="D80"/>
  <c r="D84"/>
  <c r="P30" i="22"/>
  <c r="P77" s="1"/>
  <c r="G54" i="33" l="1"/>
  <c r="M53" s="1"/>
  <c r="Q18" s="1"/>
  <c r="Q55"/>
  <c r="H54" s="1"/>
  <c r="N53" s="1"/>
  <c r="K55" i="9"/>
  <c r="K54"/>
  <c r="M66" i="33"/>
  <c r="Q21" s="1"/>
  <c r="Q76"/>
  <c r="N67" s="1"/>
  <c r="D112" i="4"/>
  <c r="D45" i="6"/>
  <c r="V7" i="9"/>
  <c r="X7"/>
  <c r="AC7" s="1"/>
  <c r="N74" s="1"/>
  <c r="AC74" i="8" s="1"/>
  <c r="D83" i="4"/>
  <c r="D43" i="6"/>
  <c r="AA7" i="9"/>
  <c r="U83" i="8"/>
  <c r="O83" s="1"/>
  <c r="K84" i="9" s="1"/>
  <c r="N85"/>
  <c r="AC84" i="8" s="1"/>
  <c r="N17" i="9"/>
  <c r="AC17" i="8" s="1"/>
  <c r="H19" i="9"/>
  <c r="N18"/>
  <c r="AC18" i="8" s="1"/>
  <c r="N33" i="9"/>
  <c r="AC33" i="8" s="1"/>
  <c r="H76" i="9"/>
  <c r="H11"/>
  <c r="N41"/>
  <c r="AC41" i="8" s="1"/>
  <c r="N49" i="9"/>
  <c r="AC49" i="8" s="1"/>
  <c r="N63" i="9"/>
  <c r="AC63" i="8" s="1"/>
  <c r="N30" i="9"/>
  <c r="AC30" i="8" s="1"/>
  <c r="T7" i="9"/>
  <c r="Z7"/>
  <c r="G12" s="1"/>
  <c r="N66"/>
  <c r="AC66" i="8" s="1"/>
  <c r="N72" i="9"/>
  <c r="AC72" i="8" s="1"/>
  <c r="H29" i="9"/>
  <c r="N11"/>
  <c r="AC11" i="8" s="1"/>
  <c r="N47" i="9"/>
  <c r="AC47" i="8" s="1"/>
  <c r="N80" i="9"/>
  <c r="AC80" i="8" s="1"/>
  <c r="N76" i="9"/>
  <c r="AC76" i="8" s="1"/>
  <c r="G67" i="9"/>
  <c r="N59"/>
  <c r="AC59" i="8" s="1"/>
  <c r="H17" i="9"/>
  <c r="N34"/>
  <c r="AC34" i="8" s="1"/>
  <c r="N64" i="9"/>
  <c r="AC64" i="8" s="1"/>
  <c r="N9" i="9"/>
  <c r="AC9" i="8" s="1"/>
  <c r="H61" i="9"/>
  <c r="N21"/>
  <c r="AC21" i="8" s="1"/>
  <c r="H52" i="9"/>
  <c r="N27"/>
  <c r="AC27" i="8" s="1"/>
  <c r="M17" i="9"/>
  <c r="AA17" i="8" s="1"/>
  <c r="N26" i="9"/>
  <c r="AC26" i="8" s="1"/>
  <c r="J44" i="22"/>
  <c r="K44" s="1"/>
  <c r="M44" s="1"/>
  <c r="M25"/>
  <c r="M27"/>
  <c r="M26"/>
  <c r="M28"/>
  <c r="J47"/>
  <c r="K47" s="1"/>
  <c r="M47" s="1"/>
  <c r="J46"/>
  <c r="K46" s="1"/>
  <c r="M46" s="1"/>
  <c r="J45"/>
  <c r="K45" s="1"/>
  <c r="M45" s="1"/>
  <c r="P114" i="30"/>
  <c r="E29" i="27"/>
  <c r="G39" s="1"/>
  <c r="K55" i="22"/>
  <c r="P77" i="4"/>
  <c r="N52" i="9"/>
  <c r="AC52" i="8" s="1"/>
  <c r="H87" i="9"/>
  <c r="N25"/>
  <c r="AC25" i="8" s="1"/>
  <c r="D82" i="4"/>
  <c r="D110"/>
  <c r="D111"/>
  <c r="D113"/>
  <c r="N14" i="9"/>
  <c r="AC14" i="8" s="1"/>
  <c r="D81" i="4"/>
  <c r="D79"/>
  <c r="H63" i="9"/>
  <c r="D47" i="6"/>
  <c r="D44"/>
  <c r="Y49" i="8"/>
  <c r="S49" s="1"/>
  <c r="Y50" i="20" s="1"/>
  <c r="Z50" s="1"/>
  <c r="O49" i="8"/>
  <c r="K49" i="9" s="1"/>
  <c r="H59"/>
  <c r="O33" i="8"/>
  <c r="L15" i="22"/>
  <c r="F6" i="27"/>
  <c r="F16" i="6"/>
  <c r="S39" i="20"/>
  <c r="O57" i="8"/>
  <c r="W31" i="20"/>
  <c r="W30"/>
  <c r="W32"/>
  <c r="V30"/>
  <c r="V31"/>
  <c r="V32"/>
  <c r="V29"/>
  <c r="H16" i="9"/>
  <c r="L12" i="22"/>
  <c r="L13"/>
  <c r="O85" i="8"/>
  <c r="K86" i="9" s="1"/>
  <c r="Y50" i="8"/>
  <c r="S50" s="1"/>
  <c r="Y51" i="20" s="1"/>
  <c r="Z51" s="1"/>
  <c r="O50" i="8"/>
  <c r="K50" i="9" s="1"/>
  <c r="H10"/>
  <c r="X30" i="20"/>
  <c r="X31"/>
  <c r="X32"/>
  <c r="L17" i="22"/>
  <c r="O40" i="8"/>
  <c r="K40" i="9" s="1"/>
  <c r="L14" i="22"/>
  <c r="O32" i="8"/>
  <c r="K32" i="9" s="1"/>
  <c r="T39" i="20"/>
  <c r="G16" i="6"/>
  <c r="F8" i="27"/>
  <c r="M76" i="9" l="1"/>
  <c r="AA76" i="8" s="1"/>
  <c r="G24" i="9"/>
  <c r="H77"/>
  <c r="K33"/>
  <c r="G33" s="1"/>
  <c r="H30" i="33"/>
  <c r="G55" i="9"/>
  <c r="M45"/>
  <c r="M8" i="16" s="1"/>
  <c r="M41" i="9"/>
  <c r="AA41" i="8" s="1"/>
  <c r="M46" i="9"/>
  <c r="AA46" i="8" s="1"/>
  <c r="M23" i="9"/>
  <c r="G86"/>
  <c r="N83"/>
  <c r="AC82" i="8" s="1"/>
  <c r="M21" i="9"/>
  <c r="AA21" i="8" s="1"/>
  <c r="M10" i="9"/>
  <c r="AA10" i="8" s="1"/>
  <c r="M64" i="9"/>
  <c r="AA64" i="8" s="1"/>
  <c r="N44" i="9"/>
  <c r="AC44" i="8" s="1"/>
  <c r="G19" i="9"/>
  <c r="N79"/>
  <c r="AC79" i="8" s="1"/>
  <c r="N35" i="9"/>
  <c r="AC35" i="8" s="1"/>
  <c r="N16" i="9"/>
  <c r="AC16" i="8" s="1"/>
  <c r="N69" i="9"/>
  <c r="AC69" i="8" s="1"/>
  <c r="H15" i="9"/>
  <c r="J14" s="1"/>
  <c r="N10"/>
  <c r="AC10" i="8" s="1"/>
  <c r="N39" i="9"/>
  <c r="AC39" i="8" s="1"/>
  <c r="N12" i="9"/>
  <c r="AC12" i="8" s="1"/>
  <c r="N86" i="9"/>
  <c r="AC85" i="8" s="1"/>
  <c r="N67" i="9"/>
  <c r="AC67" i="8" s="1"/>
  <c r="N66" i="33"/>
  <c r="Q22" s="1"/>
  <c r="Q19"/>
  <c r="U69" i="8"/>
  <c r="O69" s="1"/>
  <c r="K69" i="9" s="1"/>
  <c r="G69" s="1"/>
  <c r="M16"/>
  <c r="AA16" i="8" s="1"/>
  <c r="G50" i="9"/>
  <c r="M22"/>
  <c r="AA22" i="8" s="1"/>
  <c r="G58" i="9"/>
  <c r="M12"/>
  <c r="M7" i="12" s="1"/>
  <c r="T7" s="1"/>
  <c r="G21" i="9"/>
  <c r="M52"/>
  <c r="AA52" i="8" s="1"/>
  <c r="M25" i="9"/>
  <c r="AA25" i="8" s="1"/>
  <c r="M75" i="9"/>
  <c r="H70"/>
  <c r="G18"/>
  <c r="I17" s="1"/>
  <c r="D18" s="1"/>
  <c r="V18" i="8" s="1"/>
  <c r="U17" s="1"/>
  <c r="O17" s="1"/>
  <c r="K17" i="9" s="1"/>
  <c r="G17" s="1"/>
  <c r="G31"/>
  <c r="G16"/>
  <c r="M13"/>
  <c r="G27"/>
  <c r="M39"/>
  <c r="M90" i="2" s="1"/>
  <c r="Y90" s="1"/>
  <c r="M65" i="9"/>
  <c r="M11" i="4" s="1"/>
  <c r="Y11" s="1"/>
  <c r="G43" i="9"/>
  <c r="G23"/>
  <c r="G61"/>
  <c r="H71"/>
  <c r="H68"/>
  <c r="M62"/>
  <c r="AA62" i="8" s="1"/>
  <c r="G84" i="9"/>
  <c r="N13"/>
  <c r="AC13" i="8" s="1"/>
  <c r="G32" i="9"/>
  <c r="G40"/>
  <c r="M63" i="12"/>
  <c r="Y63" s="1"/>
  <c r="M42" i="9"/>
  <c r="AA42" i="8" s="1"/>
  <c r="H53" i="9"/>
  <c r="G49"/>
  <c r="G54"/>
  <c r="I53" s="1"/>
  <c r="D55" s="1"/>
  <c r="V55" i="8" s="1"/>
  <c r="P55" s="1"/>
  <c r="M84" i="9"/>
  <c r="AA83" i="8" s="1"/>
  <c r="M74" i="9"/>
  <c r="AA74" i="8" s="1"/>
  <c r="M67" i="9"/>
  <c r="M43" i="4" s="1"/>
  <c r="T43" s="1"/>
  <c r="H56" i="9"/>
  <c r="G48"/>
  <c r="M44"/>
  <c r="AA44" i="8" s="1"/>
  <c r="N46" i="9"/>
  <c r="AC46" i="8" s="1"/>
  <c r="M55" i="9"/>
  <c r="AA55" i="8" s="1"/>
  <c r="M40" i="9"/>
  <c r="N36"/>
  <c r="AC36" i="8" s="1"/>
  <c r="H81" i="9"/>
  <c r="J80" s="1"/>
  <c r="N48"/>
  <c r="AC48" i="8" s="1"/>
  <c r="M29" i="9"/>
  <c r="AA29" i="8" s="1"/>
  <c r="M68" i="9"/>
  <c r="M59" i="4" s="1"/>
  <c r="T59" s="1"/>
  <c r="H12" i="9"/>
  <c r="M35"/>
  <c r="AA35" i="8" s="1"/>
  <c r="G78" i="9"/>
  <c r="H79"/>
  <c r="H62"/>
  <c r="N24"/>
  <c r="AC24" i="8" s="1"/>
  <c r="N37" i="9"/>
  <c r="AC37" i="8" s="1"/>
  <c r="N75" i="9"/>
  <c r="AC75" i="8" s="1"/>
  <c r="H57" i="9"/>
  <c r="M28"/>
  <c r="AA28" i="8" s="1"/>
  <c r="G22" i="9"/>
  <c r="G13"/>
  <c r="I11" s="1"/>
  <c r="D12" s="1"/>
  <c r="V12" i="8" s="1"/>
  <c r="N54" i="9"/>
  <c r="AC54" i="8" s="1"/>
  <c r="M73" i="9"/>
  <c r="AA73" i="8" s="1"/>
  <c r="M83" i="9"/>
  <c r="AA82" i="8" s="1"/>
  <c r="M60" i="9"/>
  <c r="M32"/>
  <c r="N43"/>
  <c r="AC43" i="8" s="1"/>
  <c r="M54" i="9"/>
  <c r="AA54" i="8" s="1"/>
  <c r="G74" i="9"/>
  <c r="M30"/>
  <c r="AA30" i="8" s="1"/>
  <c r="M14" i="9"/>
  <c r="AA14" i="8" s="1"/>
  <c r="M26" i="9"/>
  <c r="G28"/>
  <c r="H58"/>
  <c r="M48"/>
  <c r="N22"/>
  <c r="AC22" i="8" s="1"/>
  <c r="N68" i="9"/>
  <c r="AC68" i="8" s="1"/>
  <c r="M15" i="9"/>
  <c r="M30" i="12" s="1"/>
  <c r="T30" s="1"/>
  <c r="N60" i="9"/>
  <c r="AC60" i="8" s="1"/>
  <c r="G73" i="9"/>
  <c r="M18"/>
  <c r="G68"/>
  <c r="H55"/>
  <c r="M78"/>
  <c r="AA78" i="8" s="1"/>
  <c r="H44" i="9"/>
  <c r="N45"/>
  <c r="AC45" i="8" s="1"/>
  <c r="N38" i="9"/>
  <c r="AC38" i="8" s="1"/>
  <c r="M38" i="9"/>
  <c r="AA38" i="8" s="1"/>
  <c r="M49" i="9"/>
  <c r="H72"/>
  <c r="J62" s="1"/>
  <c r="M47"/>
  <c r="N73"/>
  <c r="AC73" i="8" s="1"/>
  <c r="M80" i="9"/>
  <c r="AA80" i="8" s="1"/>
  <c r="M9" i="9"/>
  <c r="AA9" i="8" s="1"/>
  <c r="N84" i="9"/>
  <c r="AC83" i="8" s="1"/>
  <c r="N61" i="9"/>
  <c r="AC61" i="8" s="1"/>
  <c r="N82" i="9"/>
  <c r="AC81" i="8" s="1"/>
  <c r="G71" i="9"/>
  <c r="M82"/>
  <c r="AA81" i="8" s="1"/>
  <c r="H9" i="9"/>
  <c r="N15"/>
  <c r="AC15" i="8" s="1"/>
  <c r="H54" i="9"/>
  <c r="H74"/>
  <c r="N56"/>
  <c r="AC56" i="8" s="1"/>
  <c r="N32" i="9"/>
  <c r="AC32" i="8" s="1"/>
  <c r="N23" i="9"/>
  <c r="AC23" i="8" s="1"/>
  <c r="N62" i="9"/>
  <c r="AC62" i="8" s="1"/>
  <c r="N55" i="9"/>
  <c r="AC55" i="8" s="1"/>
  <c r="H18" i="9"/>
  <c r="J17" s="1"/>
  <c r="E18" s="1"/>
  <c r="X18" i="8" s="1"/>
  <c r="R18" s="1"/>
  <c r="H78" i="9"/>
  <c r="J76" s="1"/>
  <c r="G42"/>
  <c r="H64"/>
  <c r="N87"/>
  <c r="AC86" i="8" s="1"/>
  <c r="M27" i="9"/>
  <c r="AA27" i="8" s="1"/>
  <c r="M58" i="9"/>
  <c r="AA58" i="8" s="1"/>
  <c r="G87" i="9"/>
  <c r="G15"/>
  <c r="M61"/>
  <c r="M122" i="3" s="1"/>
  <c r="Y122" s="1"/>
  <c r="G65" i="9"/>
  <c r="M86"/>
  <c r="M62" i="6" s="1"/>
  <c r="X62" s="1"/>
  <c r="M19" i="9"/>
  <c r="AA19" i="8" s="1"/>
  <c r="H83" i="9"/>
  <c r="M11"/>
  <c r="AA11" i="8" s="1"/>
  <c r="H60" i="9"/>
  <c r="J59" s="1"/>
  <c r="M20"/>
  <c r="AA20" i="8" s="1"/>
  <c r="H67" i="9"/>
  <c r="M70"/>
  <c r="N31"/>
  <c r="AC31" i="8" s="1"/>
  <c r="G39" i="9"/>
  <c r="N42"/>
  <c r="AC42" i="8" s="1"/>
  <c r="G26" i="9"/>
  <c r="I25" s="1"/>
  <c r="H14"/>
  <c r="J10" s="1"/>
  <c r="M56"/>
  <c r="AA56" i="8" s="1"/>
  <c r="G34" i="9"/>
  <c r="H75"/>
  <c r="N77"/>
  <c r="AC77" i="8" s="1"/>
  <c r="M36" i="9"/>
  <c r="N53"/>
  <c r="AC53" i="8" s="1"/>
  <c r="N20" i="9"/>
  <c r="AC20" i="8" s="1"/>
  <c r="H13" i="9"/>
  <c r="J11" s="1"/>
  <c r="M31"/>
  <c r="H69"/>
  <c r="N57"/>
  <c r="AC57" i="8" s="1"/>
  <c r="N78" i="9"/>
  <c r="AC78" i="8" s="1"/>
  <c r="H85" i="9"/>
  <c r="M50"/>
  <c r="H73"/>
  <c r="H84"/>
  <c r="N28"/>
  <c r="AC28" i="8" s="1"/>
  <c r="N58" i="9"/>
  <c r="AC58" i="8" s="1"/>
  <c r="N71" i="9"/>
  <c r="AC71" i="8" s="1"/>
  <c r="N29" i="9"/>
  <c r="AC29" i="8" s="1"/>
  <c r="N40" i="9"/>
  <c r="AC40" i="8" s="1"/>
  <c r="N65" i="9"/>
  <c r="AC65" i="8" s="1"/>
  <c r="H86" i="9"/>
  <c r="J85" s="1"/>
  <c r="N70"/>
  <c r="AC70" i="8" s="1"/>
  <c r="H82" i="9"/>
  <c r="N50"/>
  <c r="AC50" i="8" s="1"/>
  <c r="H80" i="9"/>
  <c r="N19"/>
  <c r="AC19" i="8" s="1"/>
  <c r="M66" i="9"/>
  <c r="M71"/>
  <c r="M69"/>
  <c r="G75"/>
  <c r="H66"/>
  <c r="G47"/>
  <c r="G37"/>
  <c r="M77"/>
  <c r="M87"/>
  <c r="M59"/>
  <c r="AA59" i="8" s="1"/>
  <c r="G60" i="9"/>
  <c r="M85"/>
  <c r="AA84" i="8" s="1"/>
  <c r="G77" i="9"/>
  <c r="G36"/>
  <c r="M63"/>
  <c r="AA63" i="8" s="1"/>
  <c r="M37" i="9"/>
  <c r="M24"/>
  <c r="AA24" i="8" s="1"/>
  <c r="M34" i="9"/>
  <c r="M33"/>
  <c r="M79"/>
  <c r="AA79" i="8" s="1"/>
  <c r="G83" i="9"/>
  <c r="M53"/>
  <c r="AA53" i="8" s="1"/>
  <c r="M57" i="9"/>
  <c r="M43"/>
  <c r="H65"/>
  <c r="G66"/>
  <c r="M72"/>
  <c r="AA72" i="8" s="1"/>
  <c r="AA68"/>
  <c r="AA15"/>
  <c r="H39" i="27"/>
  <c r="H40" s="1"/>
  <c r="K59" i="22"/>
  <c r="P59" s="1"/>
  <c r="K73"/>
  <c r="M73" s="1"/>
  <c r="P55"/>
  <c r="M55"/>
  <c r="M171" i="4"/>
  <c r="M98" i="3"/>
  <c r="Y98" s="1"/>
  <c r="AA85" i="8"/>
  <c r="P107" i="4"/>
  <c r="U70" i="8"/>
  <c r="O70" s="1"/>
  <c r="K70" i="9" s="1"/>
  <c r="G70" s="1"/>
  <c r="M158" i="4"/>
  <c r="T158" s="1"/>
  <c r="M7" i="3"/>
  <c r="Y7" s="1"/>
  <c r="AA12" i="8"/>
  <c r="M74" i="12"/>
  <c r="Y74" s="1"/>
  <c r="AA13" i="8"/>
  <c r="M17" i="12"/>
  <c r="T17" s="1"/>
  <c r="L62" i="22"/>
  <c r="M62" s="1"/>
  <c r="M64" s="1"/>
  <c r="K57" i="9"/>
  <c r="G57" s="1"/>
  <c r="R37" i="22"/>
  <c r="AA23" i="8"/>
  <c r="M85" i="12"/>
  <c r="Y85" s="1"/>
  <c r="E16" i="9" l="1"/>
  <c r="X16" i="8" s="1"/>
  <c r="R16" s="1"/>
  <c r="E15" i="9"/>
  <c r="X15" i="8" s="1"/>
  <c r="R15" s="1"/>
  <c r="M40" i="12"/>
  <c r="T40" s="1"/>
  <c r="M41" i="6"/>
  <c r="X41" s="1"/>
  <c r="M128" i="2"/>
  <c r="T128" s="1"/>
  <c r="M96" i="12"/>
  <c r="Y96" s="1"/>
  <c r="I76" i="9"/>
  <c r="D78" s="1"/>
  <c r="V78" i="8" s="1"/>
  <c r="P78" s="1"/>
  <c r="AA61"/>
  <c r="J64" i="9"/>
  <c r="M131" i="12"/>
  <c r="Y131" s="1"/>
  <c r="AA39" i="8"/>
  <c r="AA45"/>
  <c r="I85" i="9"/>
  <c r="D86" s="1"/>
  <c r="V85" i="8" s="1"/>
  <c r="M27" i="33"/>
  <c r="Q30"/>
  <c r="N27" s="1"/>
  <c r="E22" i="16"/>
  <c r="Q91" i="33" s="1"/>
  <c r="E29" i="16"/>
  <c r="Q98" i="33" s="1"/>
  <c r="E25" i="16"/>
  <c r="Q94" i="33" s="1"/>
  <c r="E23" i="16"/>
  <c r="Q92" i="33" s="1"/>
  <c r="E21" i="16"/>
  <c r="Q90" i="33" s="1"/>
  <c r="E28" i="16"/>
  <c r="Q97" i="33" s="1"/>
  <c r="E26" i="16"/>
  <c r="Q95" i="33" s="1"/>
  <c r="E27" i="16"/>
  <c r="Q96" i="33" s="1"/>
  <c r="Y8" i="16"/>
  <c r="E17"/>
  <c r="E24"/>
  <c r="M21" i="6"/>
  <c r="X21" s="1"/>
  <c r="M7"/>
  <c r="X7" s="1"/>
  <c r="M59" i="3"/>
  <c r="Y59" s="1"/>
  <c r="I56" i="9"/>
  <c r="D58" s="1"/>
  <c r="V58" i="8" s="1"/>
  <c r="P58" s="1"/>
  <c r="I59" i="9"/>
  <c r="D60" s="1"/>
  <c r="V60" i="8" s="1"/>
  <c r="AA65"/>
  <c r="AA67"/>
  <c r="I46" i="9"/>
  <c r="D48" s="1"/>
  <c r="V48" i="8" s="1"/>
  <c r="P48" s="1"/>
  <c r="L48" i="9" s="1"/>
  <c r="H48" s="1"/>
  <c r="I41"/>
  <c r="D42" s="1"/>
  <c r="V42" i="8" s="1"/>
  <c r="P42" s="1"/>
  <c r="L42" i="9" s="1"/>
  <c r="H42" s="1"/>
  <c r="P18" i="8"/>
  <c r="I20" i="9"/>
  <c r="D22" s="1"/>
  <c r="V22" i="8" s="1"/>
  <c r="P22" s="1"/>
  <c r="L22" i="9" s="1"/>
  <c r="H22" s="1"/>
  <c r="I82"/>
  <c r="D84" s="1"/>
  <c r="V83" i="8" s="1"/>
  <c r="P83" s="1"/>
  <c r="J52" i="9"/>
  <c r="E53" s="1"/>
  <c r="X53" i="8" s="1"/>
  <c r="R53" s="1"/>
  <c r="J56" i="9"/>
  <c r="I38"/>
  <c r="D39" s="1"/>
  <c r="V39" i="8" s="1"/>
  <c r="P39" s="1"/>
  <c r="L39" i="9" s="1"/>
  <c r="H39" s="1"/>
  <c r="D27"/>
  <c r="V27" i="8" s="1"/>
  <c r="P27" s="1"/>
  <c r="L27" i="9" s="1"/>
  <c r="H27" s="1"/>
  <c r="D26"/>
  <c r="V26" i="8" s="1"/>
  <c r="I14" i="9"/>
  <c r="D16" s="1"/>
  <c r="V16" i="8" s="1"/>
  <c r="P16" s="1"/>
  <c r="D13" i="9"/>
  <c r="V13" i="8" s="1"/>
  <c r="P13" s="1"/>
  <c r="E56" i="9"/>
  <c r="X56" i="8" s="1"/>
  <c r="R56" s="1"/>
  <c r="E54" i="9"/>
  <c r="X54" i="8" s="1"/>
  <c r="E60" i="9"/>
  <c r="X60" i="8" s="1"/>
  <c r="R60" s="1"/>
  <c r="E61" i="9"/>
  <c r="X61" i="8" s="1"/>
  <c r="R61" s="1"/>
  <c r="J79" i="9"/>
  <c r="E86" s="1"/>
  <c r="X85" i="8" s="1"/>
  <c r="R85" s="1"/>
  <c r="I72" i="9"/>
  <c r="D73" s="1"/>
  <c r="V73" i="8" s="1"/>
  <c r="AA40"/>
  <c r="M107" i="2"/>
  <c r="T107" s="1"/>
  <c r="AA75" i="8"/>
  <c r="M184" i="4"/>
  <c r="J72" i="9"/>
  <c r="E74" s="1"/>
  <c r="X74" i="8" s="1"/>
  <c r="R74" s="1"/>
  <c r="J53" i="9"/>
  <c r="J51"/>
  <c r="E75"/>
  <c r="X75" i="8" s="1"/>
  <c r="R75" s="1"/>
  <c r="E63" i="9"/>
  <c r="X63" i="8" s="1"/>
  <c r="R63" s="1"/>
  <c r="E82" i="9"/>
  <c r="E76"/>
  <c r="X76" i="8" s="1"/>
  <c r="R76" s="1"/>
  <c r="E72" i="9"/>
  <c r="X72" i="8" s="1"/>
  <c r="R72" s="1"/>
  <c r="E85" i="9"/>
  <c r="X84" i="8" s="1"/>
  <c r="E13" i="9"/>
  <c r="X13" i="8" s="1"/>
  <c r="R13" s="1"/>
  <c r="E12" i="9"/>
  <c r="X12" i="8" s="1"/>
  <c r="R12" s="1"/>
  <c r="E17" i="9"/>
  <c r="X17" i="8" s="1"/>
  <c r="R17" s="1"/>
  <c r="E14" i="9"/>
  <c r="X14" i="8" s="1"/>
  <c r="R14" s="1"/>
  <c r="E11" i="9"/>
  <c r="X11" i="8" s="1"/>
  <c r="R11" s="1"/>
  <c r="AA50"/>
  <c r="M85" i="16"/>
  <c r="Y85" s="1"/>
  <c r="AA47" i="8"/>
  <c r="M35" i="16"/>
  <c r="Y35" s="1"/>
  <c r="AA48" i="8"/>
  <c r="M46" i="16"/>
  <c r="Y46" s="1"/>
  <c r="E78" i="9"/>
  <c r="X78" i="8" s="1"/>
  <c r="R78" s="1"/>
  <c r="E77" i="9"/>
  <c r="X77" i="8" s="1"/>
  <c r="R77" s="1"/>
  <c r="E59" i="9"/>
  <c r="X59" i="8" s="1"/>
  <c r="R59" s="1"/>
  <c r="I35" i="9"/>
  <c r="AA31" i="8"/>
  <c r="M7" i="2"/>
  <c r="M67"/>
  <c r="T67" s="1"/>
  <c r="AA36" i="8"/>
  <c r="J82" i="9"/>
  <c r="M19" i="2"/>
  <c r="Y19" s="1"/>
  <c r="AA32" i="8"/>
  <c r="M65" i="16"/>
  <c r="Y65" s="1"/>
  <c r="AA49" i="8"/>
  <c r="AA18"/>
  <c r="M51" i="12"/>
  <c r="T51" s="1"/>
  <c r="AA60" i="8"/>
  <c r="M110" i="3"/>
  <c r="Y110" s="1"/>
  <c r="I64" i="9"/>
  <c r="D66" s="1"/>
  <c r="V66" i="8" s="1"/>
  <c r="P66" s="1"/>
  <c r="AA70"/>
  <c r="M107" i="4"/>
  <c r="T107" s="1"/>
  <c r="J63" i="9"/>
  <c r="J8"/>
  <c r="AA26" i="8"/>
  <c r="M114" i="12"/>
  <c r="Y114" s="1"/>
  <c r="D23" i="9"/>
  <c r="V23" i="8" s="1"/>
  <c r="P23" s="1"/>
  <c r="L23" i="9" s="1"/>
  <c r="H23" s="1"/>
  <c r="D47"/>
  <c r="V47" i="8" s="1"/>
  <c r="P47" s="1"/>
  <c r="L47" i="9" s="1"/>
  <c r="H47" s="1"/>
  <c r="E67"/>
  <c r="X67" i="8" s="1"/>
  <c r="R67" s="1"/>
  <c r="E65" i="9"/>
  <c r="X65" i="8" s="1"/>
  <c r="R65" s="1"/>
  <c r="E66" i="9"/>
  <c r="X66" i="8" s="1"/>
  <c r="R66" s="1"/>
  <c r="D83" i="9"/>
  <c r="V82" i="8" s="1"/>
  <c r="P82" s="1"/>
  <c r="D77" i="9"/>
  <c r="V77" i="8" s="1"/>
  <c r="M144" i="2"/>
  <c r="Y144" s="1"/>
  <c r="AA43" i="8"/>
  <c r="AA34"/>
  <c r="M56" i="2"/>
  <c r="T56" s="1"/>
  <c r="M78" i="6"/>
  <c r="X78" s="1"/>
  <c r="AA86" i="8"/>
  <c r="M77" i="4"/>
  <c r="T77" s="1"/>
  <c r="AA69" i="8"/>
  <c r="M29" i="4"/>
  <c r="T29" s="1"/>
  <c r="AA66" i="8"/>
  <c r="AA57"/>
  <c r="M81" i="3"/>
  <c r="Y81" s="1"/>
  <c r="AA33" i="8"/>
  <c r="M38" i="2"/>
  <c r="Y38" s="1"/>
  <c r="M77"/>
  <c r="T77" s="1"/>
  <c r="AA37" i="8"/>
  <c r="M196" i="4"/>
  <c r="AA77" i="8"/>
  <c r="M135" i="4"/>
  <c r="T135" s="1"/>
  <c r="AA71" i="8"/>
  <c r="P52" i="22"/>
  <c r="F10" i="27" s="1"/>
  <c r="D87" i="9"/>
  <c r="V86" i="8" s="1"/>
  <c r="P86" s="1"/>
  <c r="M59" i="22"/>
  <c r="M52" s="1"/>
  <c r="U40" i="20" s="1"/>
  <c r="M69" i="22"/>
  <c r="D54" i="9"/>
  <c r="V54" i="8" s="1"/>
  <c r="P54" s="1"/>
  <c r="P12"/>
  <c r="P85"/>
  <c r="R11" i="22"/>
  <c r="I37"/>
  <c r="K37"/>
  <c r="R38"/>
  <c r="J37"/>
  <c r="D61" i="9" l="1"/>
  <c r="V61" i="8" s="1"/>
  <c r="P61" s="1"/>
  <c r="E83" i="9"/>
  <c r="X82" i="8" s="1"/>
  <c r="R82" s="1"/>
  <c r="E87" i="9"/>
  <c r="X86" i="8" s="1"/>
  <c r="R86" s="1"/>
  <c r="D43" i="9"/>
  <c r="V43" i="8" s="1"/>
  <c r="P43" s="1"/>
  <c r="L43" i="9" s="1"/>
  <c r="H43" s="1"/>
  <c r="E73"/>
  <c r="X73" i="8" s="1"/>
  <c r="R73" s="1"/>
  <c r="F30" i="16"/>
  <c r="E16" s="1"/>
  <c r="L18" s="1"/>
  <c r="D8" s="1"/>
  <c r="Q93" i="33"/>
  <c r="M91" s="1"/>
  <c r="D21" i="9"/>
  <c r="V21" i="8" s="1"/>
  <c r="P21" s="1"/>
  <c r="L21" i="9" s="1"/>
  <c r="H21" s="1"/>
  <c r="J20" s="1"/>
  <c r="D57"/>
  <c r="V57" i="8" s="1"/>
  <c r="U56" s="1"/>
  <c r="D24" i="9"/>
  <c r="V24" i="8" s="1"/>
  <c r="P24" s="1"/>
  <c r="L24" i="9" s="1"/>
  <c r="H24" s="1"/>
  <c r="U25" i="8"/>
  <c r="Y25" s="1"/>
  <c r="S25" s="1"/>
  <c r="S50" i="20" s="1"/>
  <c r="T50" s="1"/>
  <c r="E57" i="9"/>
  <c r="X57" i="8" s="1"/>
  <c r="R57" s="1"/>
  <c r="E58" i="9"/>
  <c r="X58" i="8" s="1"/>
  <c r="R58" s="1"/>
  <c r="D74" i="9"/>
  <c r="V74" i="8" s="1"/>
  <c r="P74" s="1"/>
  <c r="D75" i="9"/>
  <c r="V75" i="8" s="1"/>
  <c r="P75" s="1"/>
  <c r="J41" i="9"/>
  <c r="E43" s="1"/>
  <c r="X43" i="8" s="1"/>
  <c r="R43" s="1"/>
  <c r="D40" i="9"/>
  <c r="V40" i="8" s="1"/>
  <c r="P40" s="1"/>
  <c r="L40" i="9" s="1"/>
  <c r="H40" s="1"/>
  <c r="J38" s="1"/>
  <c r="P26" i="8"/>
  <c r="L26" i="9" s="1"/>
  <c r="H26" s="1"/>
  <c r="J25" s="1"/>
  <c r="E26" s="1"/>
  <c r="X26" i="8" s="1"/>
  <c r="R26" s="1"/>
  <c r="D15" i="9"/>
  <c r="V15" i="8" s="1"/>
  <c r="P15" s="1"/>
  <c r="U11"/>
  <c r="O11" s="1"/>
  <c r="P73"/>
  <c r="E52" i="9"/>
  <c r="X52" i="8" s="1"/>
  <c r="R52" s="1"/>
  <c r="E79" i="9"/>
  <c r="X79" i="8" s="1"/>
  <c r="R79" s="1"/>
  <c r="E62" i="9"/>
  <c r="X62" i="8" s="1"/>
  <c r="R62" s="1"/>
  <c r="E84" i="9"/>
  <c r="X83" i="8" s="1"/>
  <c r="R83" s="1"/>
  <c r="D65" i="9"/>
  <c r="V65" i="8" s="1"/>
  <c r="P65" s="1"/>
  <c r="E29" i="9"/>
  <c r="X29" i="8" s="1"/>
  <c r="R29" s="1"/>
  <c r="E44" i="9"/>
  <c r="X44" i="8" s="1"/>
  <c r="R44" s="1"/>
  <c r="E9" i="9"/>
  <c r="X9" i="8" s="1"/>
  <c r="R9" s="1"/>
  <c r="T7" i="2"/>
  <c r="Y7"/>
  <c r="D8" i="4"/>
  <c r="D67" i="9"/>
  <c r="V67" i="8" s="1"/>
  <c r="P67" s="1"/>
  <c r="E70" i="9"/>
  <c r="X70" i="8" s="1"/>
  <c r="R70" s="1"/>
  <c r="E71" i="9"/>
  <c r="X71" i="8" s="1"/>
  <c r="R71" s="1"/>
  <c r="E64" i="9"/>
  <c r="X64" i="8" s="1"/>
  <c r="R64" s="1"/>
  <c r="E69" i="9"/>
  <c r="X69" i="8" s="1"/>
  <c r="R69" s="1"/>
  <c r="E68" i="9"/>
  <c r="X68" i="8" s="1"/>
  <c r="R68" s="1"/>
  <c r="D37" i="9"/>
  <c r="V37" i="8" s="1"/>
  <c r="P37" s="1"/>
  <c r="L37" i="9" s="1"/>
  <c r="H37" s="1"/>
  <c r="D36"/>
  <c r="V36" i="8" s="1"/>
  <c r="U46"/>
  <c r="O46" s="1"/>
  <c r="K46" i="9" s="1"/>
  <c r="G46" s="1"/>
  <c r="U84" i="8"/>
  <c r="O84" s="1"/>
  <c r="K85" i="9" s="1"/>
  <c r="G85" s="1"/>
  <c r="M37" i="22"/>
  <c r="J46" i="9"/>
  <c r="U59" i="8"/>
  <c r="P60"/>
  <c r="U81"/>
  <c r="Y81" s="1"/>
  <c r="S81" s="1"/>
  <c r="Y59" i="20" s="1"/>
  <c r="Z59" s="1"/>
  <c r="U76" i="8"/>
  <c r="P77"/>
  <c r="P79" i="22"/>
  <c r="P80" s="1"/>
  <c r="O81" i="8"/>
  <c r="K81" i="9" s="1"/>
  <c r="G81" s="1"/>
  <c r="H10" i="27"/>
  <c r="U53" i="8"/>
  <c r="O53" s="1"/>
  <c r="K53" i="9" s="1"/>
  <c r="G53" s="1"/>
  <c r="R12" i="22"/>
  <c r="K11"/>
  <c r="J11"/>
  <c r="I11"/>
  <c r="M11" s="1"/>
  <c r="R13"/>
  <c r="M79"/>
  <c r="H17" i="6" s="1"/>
  <c r="H11" i="27"/>
  <c r="H32" s="1"/>
  <c r="H33" s="1"/>
  <c r="K38" i="22"/>
  <c r="J38"/>
  <c r="I38"/>
  <c r="R39"/>
  <c r="E21" i="9" l="1"/>
  <c r="X21" i="8" s="1"/>
  <c r="R21" s="1"/>
  <c r="E22" i="9"/>
  <c r="X22" i="8" s="1"/>
  <c r="R22" s="1"/>
  <c r="E24" i="9"/>
  <c r="X24" i="8" s="1"/>
  <c r="R24" s="1"/>
  <c r="E42" i="9"/>
  <c r="X42" i="8" s="1"/>
  <c r="R42" s="1"/>
  <c r="O25"/>
  <c r="K25" i="9" s="1"/>
  <c r="G25" s="1"/>
  <c r="Y84" i="8"/>
  <c r="S84" s="1"/>
  <c r="Y60" i="20" s="1"/>
  <c r="Z60" s="1"/>
  <c r="U20" i="8"/>
  <c r="Y20" s="1"/>
  <c r="S20" s="1"/>
  <c r="S49" i="20" s="1"/>
  <c r="T49" s="1"/>
  <c r="U41" i="8"/>
  <c r="D11" i="16"/>
  <c r="D13"/>
  <c r="D14"/>
  <c r="P8"/>
  <c r="D10"/>
  <c r="U45" i="8"/>
  <c r="D12" i="16"/>
  <c r="P57" i="8"/>
  <c r="I16" i="6"/>
  <c r="J98" i="33"/>
  <c r="K11" i="9"/>
  <c r="G11" s="1"/>
  <c r="U14" i="8"/>
  <c r="O14" s="1"/>
  <c r="E27" i="9"/>
  <c r="X27" i="8" s="1"/>
  <c r="R27" s="1"/>
  <c r="U72"/>
  <c r="E40" i="9"/>
  <c r="X40" i="8" s="1"/>
  <c r="R40" s="1"/>
  <c r="E39" i="9"/>
  <c r="X39" i="8" s="1"/>
  <c r="R39" s="1"/>
  <c r="U38"/>
  <c r="O38" s="1"/>
  <c r="K38" i="9" s="1"/>
  <c r="G38" s="1"/>
  <c r="E23"/>
  <c r="X23" i="8" s="1"/>
  <c r="R23" s="1"/>
  <c r="O20"/>
  <c r="K20" i="9" s="1"/>
  <c r="G20" s="1"/>
  <c r="U64" i="8"/>
  <c r="O64" s="1"/>
  <c r="U35"/>
  <c r="O35" s="1"/>
  <c r="K35" i="9" s="1"/>
  <c r="G35" s="1"/>
  <c r="I30" s="1"/>
  <c r="P36" i="8"/>
  <c r="L36" i="9" s="1"/>
  <c r="H36" s="1"/>
  <c r="J35" s="1"/>
  <c r="K82"/>
  <c r="G82" s="1"/>
  <c r="Y46" i="8"/>
  <c r="S46" s="1"/>
  <c r="Y49" i="20" s="1"/>
  <c r="Z49" s="1"/>
  <c r="M38" i="22"/>
  <c r="E47" i="9"/>
  <c r="X47" i="8" s="1"/>
  <c r="R47" s="1"/>
  <c r="E48" i="9"/>
  <c r="X48" i="8" s="1"/>
  <c r="R48" s="1"/>
  <c r="O76"/>
  <c r="K76" i="9" s="1"/>
  <c r="G76" s="1"/>
  <c r="Y76" i="8"/>
  <c r="S76" s="1"/>
  <c r="V60" i="20" s="1"/>
  <c r="W60" s="1"/>
  <c r="Y59" i="8"/>
  <c r="S59" s="1"/>
  <c r="S60" i="20" s="1"/>
  <c r="T60" s="1"/>
  <c r="O59" i="8"/>
  <c r="K59" i="9" s="1"/>
  <c r="G59" s="1"/>
  <c r="U39" i="20"/>
  <c r="AC39" s="1"/>
  <c r="AG40" s="1"/>
  <c r="H16" i="6"/>
  <c r="H34" i="27"/>
  <c r="H35" s="1"/>
  <c r="G34"/>
  <c r="H12"/>
  <c r="Y53" i="8"/>
  <c r="S53" s="1"/>
  <c r="S58" i="20" s="1"/>
  <c r="T58" s="1"/>
  <c r="I13" i="22"/>
  <c r="J13"/>
  <c r="K13"/>
  <c r="I12"/>
  <c r="K12"/>
  <c r="J12"/>
  <c r="J39"/>
  <c r="K39"/>
  <c r="I39"/>
  <c r="M39" s="1"/>
  <c r="O56" i="8"/>
  <c r="K56" i="9" s="1"/>
  <c r="G56" s="1"/>
  <c r="Y56" i="8"/>
  <c r="S56" s="1"/>
  <c r="S59" i="20" s="1"/>
  <c r="T59" s="1"/>
  <c r="Y41" i="8" l="1"/>
  <c r="S41" s="1"/>
  <c r="V50" i="20" s="1"/>
  <c r="W50" s="1"/>
  <c r="O41" i="8"/>
  <c r="K41" i="9" s="1"/>
  <c r="G41" s="1"/>
  <c r="Y45" i="8"/>
  <c r="S45" s="1"/>
  <c r="Y48" i="20" s="1"/>
  <c r="Z48" s="1"/>
  <c r="O45" i="8"/>
  <c r="K64" i="9"/>
  <c r="G64" s="1"/>
  <c r="I63" s="1"/>
  <c r="D69" s="1"/>
  <c r="V69" i="8" s="1"/>
  <c r="P69" s="1"/>
  <c r="H39" i="33"/>
  <c r="I52" i="9"/>
  <c r="D56" s="1"/>
  <c r="V56" i="8" s="1"/>
  <c r="P56" s="1"/>
  <c r="K14" i="9"/>
  <c r="G14" s="1"/>
  <c r="I10" s="1"/>
  <c r="D11" s="1"/>
  <c r="V11" i="8" s="1"/>
  <c r="Y38"/>
  <c r="S38" s="1"/>
  <c r="V49" i="20" s="1"/>
  <c r="W49" s="1"/>
  <c r="O72" i="8"/>
  <c r="K72" i="9" s="1"/>
  <c r="G72" s="1"/>
  <c r="Y72" i="8"/>
  <c r="S72" s="1"/>
  <c r="V59" i="20" s="1"/>
  <c r="W59" s="1"/>
  <c r="E37" i="9"/>
  <c r="X37" i="8" s="1"/>
  <c r="R37" s="1"/>
  <c r="E36" i="9"/>
  <c r="X36" i="8" s="1"/>
  <c r="R36" s="1"/>
  <c r="D32" i="9"/>
  <c r="V32" i="8" s="1"/>
  <c r="P32" s="1"/>
  <c r="L32" i="9" s="1"/>
  <c r="H32" s="1"/>
  <c r="D35"/>
  <c r="V35" i="8" s="1"/>
  <c r="P35" s="1"/>
  <c r="L35" i="9" s="1"/>
  <c r="H35" s="1"/>
  <c r="D31"/>
  <c r="V31" i="8" s="1"/>
  <c r="D34" i="9"/>
  <c r="V34" i="8" s="1"/>
  <c r="P34" s="1"/>
  <c r="L34" i="9" s="1"/>
  <c r="H34" s="1"/>
  <c r="D33"/>
  <c r="V33" i="8" s="1"/>
  <c r="P33" s="1"/>
  <c r="L33" i="9" s="1"/>
  <c r="H33" s="1"/>
  <c r="M12" i="22"/>
  <c r="M13"/>
  <c r="M49"/>
  <c r="M78" s="1"/>
  <c r="P11" i="8"/>
  <c r="H19" i="27"/>
  <c r="H15" s="1"/>
  <c r="D14" i="9" l="1"/>
  <c r="V14" i="8" s="1"/>
  <c r="P14" s="1"/>
  <c r="D53" i="9"/>
  <c r="V53" i="8" s="1"/>
  <c r="P53" s="1"/>
  <c r="D17" i="9"/>
  <c r="V17" i="8" s="1"/>
  <c r="P17" s="1"/>
  <c r="K45" i="9"/>
  <c r="G45" s="1"/>
  <c r="I44" s="1"/>
  <c r="D68"/>
  <c r="V68" i="8" s="1"/>
  <c r="P68" s="1"/>
  <c r="D71" i="9"/>
  <c r="V71" i="8" s="1"/>
  <c r="P71" s="1"/>
  <c r="D70" i="9"/>
  <c r="V70" i="8" s="1"/>
  <c r="P70" s="1"/>
  <c r="Q38" i="33"/>
  <c r="N38" s="1"/>
  <c r="N26" s="1"/>
  <c r="M38"/>
  <c r="M26" s="1"/>
  <c r="Q15" s="1"/>
  <c r="D64" i="9"/>
  <c r="V64" i="8" s="1"/>
  <c r="P64" s="1"/>
  <c r="D59" i="9"/>
  <c r="V59" i="8" s="1"/>
  <c r="P59" s="1"/>
  <c r="P31"/>
  <c r="L31" i="9" s="1"/>
  <c r="H31" s="1"/>
  <c r="J30" s="1"/>
  <c r="U30" i="8"/>
  <c r="M30" i="22"/>
  <c r="M77" s="1"/>
  <c r="F17" i="6" s="1"/>
  <c r="G17"/>
  <c r="H8" i="27"/>
  <c r="T40" i="20"/>
  <c r="U10" i="8" l="1"/>
  <c r="D49" i="9"/>
  <c r="V49" i="8" s="1"/>
  <c r="P49" s="1"/>
  <c r="L49" i="9" s="1"/>
  <c r="H49" s="1"/>
  <c r="D45"/>
  <c r="V45" i="8" s="1"/>
  <c r="D50" i="9"/>
  <c r="V50" i="8" s="1"/>
  <c r="P50" s="1"/>
  <c r="L50" i="9" s="1"/>
  <c r="H50" s="1"/>
  <c r="D46"/>
  <c r="V46" i="8" s="1"/>
  <c r="P46" s="1"/>
  <c r="L46" i="9" s="1"/>
  <c r="H46" s="1"/>
  <c r="Y52" i="8"/>
  <c r="S52" s="1"/>
  <c r="U63"/>
  <c r="O63" s="1"/>
  <c r="K63" i="9" s="1"/>
  <c r="G63" s="1"/>
  <c r="I62" s="1"/>
  <c r="Q16" i="33"/>
  <c r="Y63" i="8"/>
  <c r="S63" s="1"/>
  <c r="V58" i="20" s="1"/>
  <c r="W58" s="1"/>
  <c r="M80" i="22"/>
  <c r="Y30" i="8"/>
  <c r="S30" s="1"/>
  <c r="V48" i="20" s="1"/>
  <c r="W48" s="1"/>
  <c r="O30" i="8"/>
  <c r="K30" i="9" s="1"/>
  <c r="G30" s="1"/>
  <c r="I29" s="1"/>
  <c r="H6" i="27"/>
  <c r="E32" i="9"/>
  <c r="X32" i="8" s="1"/>
  <c r="R32" s="1"/>
  <c r="E33" i="9"/>
  <c r="X33" i="8" s="1"/>
  <c r="R33" s="1"/>
  <c r="E31" i="9"/>
  <c r="X31" i="8" s="1"/>
  <c r="R31" s="1"/>
  <c r="E34" i="9"/>
  <c r="X34" i="8" s="1"/>
  <c r="R34" s="1"/>
  <c r="E35" i="9"/>
  <c r="X35" i="8" s="1"/>
  <c r="R35" s="1"/>
  <c r="S40" i="20"/>
  <c r="W42" s="1"/>
  <c r="AC42" s="1"/>
  <c r="AB42" s="1"/>
  <c r="Y10" i="8" l="1"/>
  <c r="S10" s="1"/>
  <c r="S48" i="20" s="1"/>
  <c r="T48" s="1"/>
  <c r="O10" i="8"/>
  <c r="K10" i="9" s="1"/>
  <c r="G10" s="1"/>
  <c r="I9" s="1"/>
  <c r="P45" i="8"/>
  <c r="L45" i="9" s="1"/>
  <c r="H45" s="1"/>
  <c r="J44" s="1"/>
  <c r="Y44" i="8"/>
  <c r="T55" i="20"/>
  <c r="I17" i="6"/>
  <c r="J17" s="1"/>
  <c r="J97" i="33"/>
  <c r="J99" s="1"/>
  <c r="M97" s="1"/>
  <c r="D10" i="9"/>
  <c r="V10" i="8" s="1"/>
  <c r="P10" s="1"/>
  <c r="AC40" i="20"/>
  <c r="AB40" s="1"/>
  <c r="V41"/>
  <c r="AC41" s="1"/>
  <c r="AB41" s="1"/>
  <c r="T35" s="1"/>
  <c r="S35" s="1"/>
  <c r="S36" s="1"/>
  <c r="D76" i="9"/>
  <c r="V76" i="8" s="1"/>
  <c r="P76" s="1"/>
  <c r="D72" i="9"/>
  <c r="V72" i="8" s="1"/>
  <c r="P72" s="1"/>
  <c r="D63" i="9"/>
  <c r="V63" i="8" s="1"/>
  <c r="P63" s="1"/>
  <c r="T18" i="6"/>
  <c r="D30" i="9"/>
  <c r="V30" i="8" s="1"/>
  <c r="D38" i="9"/>
  <c r="V38" i="8" s="1"/>
  <c r="P38" s="1"/>
  <c r="L38" i="9" s="1"/>
  <c r="H38" s="1"/>
  <c r="D41"/>
  <c r="V41" i="8" s="1"/>
  <c r="P41" s="1"/>
  <c r="L41" i="9" s="1"/>
  <c r="H41" s="1"/>
  <c r="S55" i="20"/>
  <c r="K52" i="9"/>
  <c r="G52" s="1"/>
  <c r="D28" l="1"/>
  <c r="V28" i="8" s="1"/>
  <c r="P28" s="1"/>
  <c r="L28" i="9" s="1"/>
  <c r="H28" s="1"/>
  <c r="D20"/>
  <c r="V20" i="8" s="1"/>
  <c r="P20" s="1"/>
  <c r="L20" i="9" s="1"/>
  <c r="H20" s="1"/>
  <c r="D25"/>
  <c r="V25" i="8" s="1"/>
  <c r="P25" s="1"/>
  <c r="L25" i="9" s="1"/>
  <c r="H25" s="1"/>
  <c r="M16" i="6"/>
  <c r="D8" s="1"/>
  <c r="U80" i="8" s="1"/>
  <c r="Y80" s="1"/>
  <c r="S80" s="1"/>
  <c r="Y58" i="20" s="1"/>
  <c r="Z58" s="1"/>
  <c r="S44" i="8"/>
  <c r="Z45" i="20"/>
  <c r="E45" i="9"/>
  <c r="X45" i="8" s="1"/>
  <c r="R45" s="1"/>
  <c r="E80" i="9"/>
  <c r="X80" i="8" s="1"/>
  <c r="E46" i="9"/>
  <c r="X46" i="8" s="1"/>
  <c r="R46" s="1"/>
  <c r="E50" i="9"/>
  <c r="X50" i="8" s="1"/>
  <c r="R50" s="1"/>
  <c r="E49" i="9"/>
  <c r="X49" i="8" s="1"/>
  <c r="R49" s="1"/>
  <c r="AH39" i="20"/>
  <c r="T17" i="6"/>
  <c r="AF40" i="20"/>
  <c r="X40" s="1"/>
  <c r="AG41"/>
  <c r="AI40"/>
  <c r="AI42"/>
  <c r="AF42"/>
  <c r="X42" s="1"/>
  <c r="AI41"/>
  <c r="AG42"/>
  <c r="AF41"/>
  <c r="X41" s="1"/>
  <c r="Y62" i="8"/>
  <c r="P30"/>
  <c r="L30" i="9" s="1"/>
  <c r="H30" s="1"/>
  <c r="J29" s="1"/>
  <c r="Y29" i="8"/>
  <c r="G51" i="20"/>
  <c r="Z13"/>
  <c r="Y9" i="8" l="1"/>
  <c r="J9" i="9"/>
  <c r="Y45" i="20"/>
  <c r="K44" i="9"/>
  <c r="G44" s="1"/>
  <c r="O80" i="8"/>
  <c r="W55" i="20"/>
  <c r="S62" i="8"/>
  <c r="S29"/>
  <c r="W45" i="20"/>
  <c r="E38" i="9"/>
  <c r="X38" i="8" s="1"/>
  <c r="R38" s="1"/>
  <c r="E30" i="9"/>
  <c r="X30" i="8" s="1"/>
  <c r="R30" s="1"/>
  <c r="E41" i="9"/>
  <c r="X41" i="8" s="1"/>
  <c r="R41" s="1"/>
  <c r="E28" i="9" l="1"/>
  <c r="X28" i="8" s="1"/>
  <c r="R28" s="1"/>
  <c r="E10" i="9"/>
  <c r="X10" i="8" s="1"/>
  <c r="R10" s="1"/>
  <c r="E20" i="9"/>
  <c r="X20" i="8" s="1"/>
  <c r="R20" s="1"/>
  <c r="E25" i="9"/>
  <c r="X25" i="8" s="1"/>
  <c r="R25" s="1"/>
  <c r="T45" i="20"/>
  <c r="S9" i="8"/>
  <c r="D57" i="34"/>
  <c r="C52"/>
  <c r="B47"/>
  <c r="D41"/>
  <c r="C36"/>
  <c r="B31"/>
  <c r="D25"/>
  <c r="C20"/>
  <c r="B15"/>
  <c r="D54"/>
  <c r="B44"/>
  <c r="C33"/>
  <c r="D22"/>
  <c r="D10"/>
  <c r="D47"/>
  <c r="B37"/>
  <c r="C26"/>
  <c r="D15"/>
  <c r="C55"/>
  <c r="B50"/>
  <c r="D44"/>
  <c r="C39"/>
  <c r="B34"/>
  <c r="D28"/>
  <c r="C23"/>
  <c r="B18"/>
  <c r="D12"/>
  <c r="B56"/>
  <c r="C45"/>
  <c r="D34"/>
  <c r="B24"/>
  <c r="D14"/>
  <c r="D51"/>
  <c r="B41"/>
  <c r="C30"/>
  <c r="D19"/>
  <c r="D49"/>
  <c r="B39"/>
  <c r="C28"/>
  <c r="D17"/>
  <c r="C49"/>
  <c r="B28"/>
  <c r="B53"/>
  <c r="D31"/>
  <c r="C10"/>
  <c r="C47"/>
  <c r="D36"/>
  <c r="B26"/>
  <c r="C15"/>
  <c r="D50"/>
  <c r="C29"/>
  <c r="B57"/>
  <c r="D35"/>
  <c r="C14"/>
  <c r="D53"/>
  <c r="B43"/>
  <c r="C32"/>
  <c r="D21"/>
  <c r="C57"/>
  <c r="B36"/>
  <c r="C13"/>
  <c r="D39"/>
  <c r="C18"/>
  <c r="C51"/>
  <c r="D40"/>
  <c r="B30"/>
  <c r="C19"/>
  <c r="B11"/>
  <c r="C37"/>
  <c r="C17"/>
  <c r="D43"/>
  <c r="C22"/>
  <c r="C56"/>
  <c r="B51"/>
  <c r="D45"/>
  <c r="C40"/>
  <c r="B35"/>
  <c r="D29"/>
  <c r="C24"/>
  <c r="B19"/>
  <c r="D13"/>
  <c r="B52"/>
  <c r="C41"/>
  <c r="D30"/>
  <c r="B20"/>
  <c r="D55"/>
  <c r="B45"/>
  <c r="C34"/>
  <c r="D23"/>
  <c r="B13"/>
  <c r="B54"/>
  <c r="D48"/>
  <c r="C43"/>
  <c r="B38"/>
  <c r="D32"/>
  <c r="C27"/>
  <c r="B22"/>
  <c r="D16"/>
  <c r="C11"/>
  <c r="C53"/>
  <c r="D42"/>
  <c r="B32"/>
  <c r="C21"/>
  <c r="B12"/>
  <c r="B49"/>
  <c r="C38"/>
  <c r="D27"/>
  <c r="B17"/>
  <c r="B55"/>
  <c r="C44"/>
  <c r="D33"/>
  <c r="B23"/>
  <c r="C12"/>
  <c r="D38"/>
  <c r="B16"/>
  <c r="C42"/>
  <c r="B21"/>
  <c r="D52"/>
  <c r="B42"/>
  <c r="C31"/>
  <c r="D20"/>
  <c r="B10"/>
  <c r="B40"/>
  <c r="D18"/>
  <c r="C46"/>
  <c r="B25"/>
  <c r="C48"/>
  <c r="D37"/>
  <c r="B27"/>
  <c r="C16"/>
  <c r="D46"/>
  <c r="C25"/>
  <c r="C50"/>
  <c r="B29"/>
  <c r="D56"/>
  <c r="B46"/>
  <c r="C35"/>
  <c r="D24"/>
  <c r="B14"/>
  <c r="B48"/>
  <c r="D26"/>
  <c r="C54"/>
  <c r="B33"/>
  <c r="D11"/>
  <c r="O40" i="20"/>
  <c r="Z10"/>
  <c r="K80" i="9"/>
  <c r="G80" s="1"/>
  <c r="I79" s="1"/>
  <c r="D85" s="1"/>
  <c r="V84" i="8" s="1"/>
  <c r="P84" s="1"/>
  <c r="V55" i="20"/>
  <c r="K62" i="9"/>
  <c r="G62" s="1"/>
  <c r="K29"/>
  <c r="G29" s="1"/>
  <c r="V45" i="20"/>
  <c r="S45" l="1"/>
  <c r="K9" i="9"/>
  <c r="G9" s="1"/>
  <c r="I8" s="1"/>
  <c r="D82"/>
  <c r="V81" i="8" s="1"/>
  <c r="P81" s="1"/>
  <c r="D80" i="9"/>
  <c r="V80" i="8" s="1"/>
  <c r="P80" s="1"/>
  <c r="D81" i="9"/>
  <c r="K51" i="20"/>
  <c r="Z12"/>
  <c r="K40"/>
  <c r="Z9"/>
  <c r="D29" i="9" l="1"/>
  <c r="V29" i="8" s="1"/>
  <c r="P29" s="1"/>
  <c r="D9" i="9"/>
  <c r="V9" i="8" s="1"/>
  <c r="P9" s="1"/>
  <c r="D44" i="9"/>
  <c r="V44" i="8" s="1"/>
  <c r="P44" s="1"/>
  <c r="G40" i="20"/>
  <c r="Z14"/>
  <c r="Y79" i="8"/>
  <c r="S79" s="1"/>
  <c r="K79" i="9" s="1"/>
  <c r="G79" s="1"/>
  <c r="I51" s="1"/>
  <c r="D79" s="1"/>
  <c r="V79" i="8" s="1"/>
  <c r="P79" s="1"/>
  <c r="Y8"/>
  <c r="S8" s="1"/>
  <c r="N38" i="20" s="1"/>
  <c r="Y55" l="1"/>
  <c r="Z11" s="1"/>
  <c r="D52" i="9"/>
  <c r="V52" i="8" s="1"/>
  <c r="P52" s="1"/>
  <c r="Z55" i="20"/>
  <c r="D62" i="9"/>
  <c r="V62" i="8" s="1"/>
  <c r="P62" s="1"/>
  <c r="S8" i="20"/>
  <c r="S10" s="1"/>
  <c r="T23" s="1"/>
  <c r="O51" l="1"/>
  <c r="Y51" i="8"/>
  <c r="S9" i="20" s="1"/>
  <c r="S11" s="1"/>
  <c r="T22" s="1"/>
  <c r="T24" s="1"/>
  <c r="T25"/>
  <c r="U25"/>
  <c r="S51" i="8" l="1"/>
  <c r="N49" i="20" s="1"/>
  <c r="S24"/>
  <c r="S12"/>
  <c r="S13" s="1"/>
  <c r="J9" i="33" s="1"/>
  <c r="S15" i="20" l="1"/>
  <c r="S16" s="1"/>
  <c r="C22"/>
  <c r="K9" i="33" l="1"/>
  <c r="L9" s="1"/>
</calcChain>
</file>

<file path=xl/comments1.xml><?xml version="1.0" encoding="utf-8"?>
<comments xmlns="http://schemas.openxmlformats.org/spreadsheetml/2006/main">
  <authors>
    <author xml:space="preserve">日建設計 </author>
    <author>Junko ENDO</author>
  </authors>
  <commentList>
    <comment ref="C12" authorId="0">
      <text>
        <r>
          <rPr>
            <sz val="9"/>
            <color indexed="81"/>
            <rFont val="ＭＳ Ｐゴシック"/>
            <family val="3"/>
            <charset val="128"/>
          </rPr>
          <t>2003/6等と入力して下さい。2003年6月と表示されます。</t>
        </r>
      </text>
    </comment>
    <comment ref="C31" authorId="0">
      <text>
        <r>
          <rPr>
            <sz val="9"/>
            <color indexed="81"/>
            <rFont val="ＭＳ Ｐゴシック"/>
            <family val="3"/>
            <charset val="128"/>
          </rPr>
          <t>2010/7/29等と入力して下さい。2010年7月29日と表示されます。</t>
        </r>
      </text>
    </comment>
    <comment ref="B33" authorId="1">
      <text>
        <r>
          <rPr>
            <sz val="9"/>
            <color indexed="81"/>
            <rFont val="ＭＳ Ｐゴシック"/>
            <family val="3"/>
            <charset val="128"/>
          </rPr>
          <t>第３者による評価結果の確認などを行っている場合は記述する。</t>
        </r>
      </text>
    </comment>
    <comment ref="C33" authorId="0">
      <text>
        <r>
          <rPr>
            <sz val="9"/>
            <color indexed="81"/>
            <rFont val="ＭＳ Ｐゴシック"/>
            <family val="3"/>
            <charset val="128"/>
          </rPr>
          <t>2010/7/29等と入力して下さい。2010年7月29日と表示されます。</t>
        </r>
      </text>
    </comment>
  </commentList>
</comments>
</file>

<file path=xl/comments2.xml><?xml version="1.0" encoding="utf-8"?>
<comments xmlns="http://schemas.openxmlformats.org/spreadsheetml/2006/main">
  <authors>
    <author>地域計画建築研究所</author>
  </authors>
  <commentList>
    <comment ref="E79" authorId="0">
      <text>
        <r>
          <rPr>
            <b/>
            <sz val="9"/>
            <color indexed="81"/>
            <rFont val="ＭＳ Ｐゴシック"/>
            <family val="3"/>
            <charset val="128"/>
          </rPr>
          <t>取組み数を整数で直接入力してください。</t>
        </r>
      </text>
    </comment>
  </commentList>
</comments>
</file>

<file path=xl/sharedStrings.xml><?xml version="1.0" encoding="utf-8"?>
<sst xmlns="http://schemas.openxmlformats.org/spreadsheetml/2006/main" count="2819" uniqueCount="1467">
  <si>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</si>
  <si>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</si>
  <si>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</si>
  <si>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</si>
  <si>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</si>
  <si>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</si>
  <si>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</si>
  <si>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</si>
  <si>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</si>
  <si>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</si>
  <si>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</si>
  <si>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</si>
  <si>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</si>
  <si>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</si>
  <si>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</si>
  <si>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</si>
  <si>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</si>
  <si>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</si>
  <si>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</si>
  <si>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</si>
  <si>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</si>
  <si>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</si>
  <si>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</si>
  <si>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</si>
  <si>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</si>
  <si>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</si>
  <si>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</si>
  <si>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</si>
  <si>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</si>
  <si>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</si>
  <si>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</si>
  <si>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</si>
  <si>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</si>
  <si>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レベル３を満たさない。</t>
    <phoneticPr fontId="4"/>
  </si>
  <si>
    <t>レベル1</t>
    <phoneticPr fontId="4"/>
  </si>
  <si>
    <t>レベル3</t>
    <phoneticPr fontId="4"/>
  </si>
  <si>
    <t>レベル5</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</si>
  <si>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</si>
  <si>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</si>
  <si>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</si>
  <si>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</si>
  <si>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</si>
  <si>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</si>
  <si>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</si>
  <si>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</si>
  <si>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</si>
  <si>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</si>
  <si>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</si>
  <si>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</si>
  <si>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</si>
  <si>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</si>
  <si>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</si>
  <si>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</si>
  <si>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</si>
  <si>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</si>
  <si>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</si>
  <si>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</si>
  <si>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</si>
  <si>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</si>
  <si>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</si>
  <si>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</si>
  <si>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</si>
  <si>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</si>
  <si>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</si>
  <si>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</si>
  <si>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</si>
  <si>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</si>
  <si>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</si>
  <si>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</si>
  <si>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</si>
  <si>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</si>
  <si>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</si>
  <si>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</si>
  <si>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←セルＮ8の式の設定を「１」に変更（Ｐ8が元の式）</t>
    <rPh sb="6" eb="7">
      <t>シキ</t>
    </rPh>
    <rPh sb="8" eb="10">
      <t>セッテイ</t>
    </rPh>
    <rPh sb="15" eb="17">
      <t>ヘンコウ</t>
    </rPh>
    <rPh sb="21" eb="22">
      <t>モト</t>
    </rPh>
    <rPh sb="23" eb="24">
      <t>シキ</t>
    </rPh>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</si>
  <si>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</si>
  <si>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</si>
  <si>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</si>
  <si>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</si>
  <si>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</si>
  <si>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</si>
  <si>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</si>
  <si>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</si>
  <si>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</si>
  <si>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</si>
  <si>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</si>
  <si>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</si>
  <si>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</si>
  <si>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</si>
  <si>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</si>
  <si>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</si>
  <si>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</si>
  <si>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</si>
  <si>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</si>
  <si>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</si>
  <si>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</si>
  <si>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</si>
  <si>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</si>
  <si>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</si>
  <si>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</si>
  <si>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ブラウン管</t>
    <phoneticPr fontId="4"/>
  </si>
  <si>
    <t>再生骨材またはコンクリート用スラグ骨材を用いている。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</si>
  <si>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</si>
  <si>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</si>
  <si>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</si>
  <si>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</si>
  <si>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</si>
  <si>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</si>
  <si>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</si>
  <si>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</si>
  <si>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</si>
  <si>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</si>
  <si>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</si>
  <si>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</si>
  <si>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</si>
  <si>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</si>
  <si>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</si>
  <si>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</si>
  <si>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</si>
  <si>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</si>
  <si>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</si>
  <si>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</si>
  <si>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</si>
  <si>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</si>
  <si>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</si>
  <si>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</si>
  <si>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</si>
  <si>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</si>
  <si>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</si>
  <si>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t>レベル４を超える水準の断熱性能を満たす。</t>
    <rPh sb="5" eb="6">
      <t>コ</t>
    </rPh>
    <rPh sb="8" eb="10">
      <t>スイジュン</t>
    </rPh>
    <rPh sb="11" eb="13">
      <t>ダンネツ</t>
    </rPh>
    <rPh sb="13" eb="15">
      <t>セイノウ</t>
    </rPh>
    <rPh sb="16" eb="17">
      <t>ミ</t>
    </rPh>
    <phoneticPr fontId="4"/>
  </si>
  <si>
    <t>維持管理の計画・体制</t>
    <rPh sb="0" eb="2">
      <t>イジ</t>
    </rPh>
    <rPh sb="2" eb="4">
      <t>カンリ</t>
    </rPh>
    <rPh sb="5" eb="7">
      <t>ケイカク</t>
    </rPh>
    <rPh sb="8" eb="10">
      <t>タイセイ</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</si>
  <si>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</si>
  <si>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</si>
  <si>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</si>
  <si>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居住時のCO2計算に用いる電気事業者別CO2排出係数</t>
    <phoneticPr fontId="4"/>
  </si>
  <si>
    <t>(t-CO2/kWh)</t>
    <phoneticPr fontId="4"/>
  </si>
  <si>
    <t>◆戸建標準計算に用いる排出係数</t>
    <phoneticPr fontId="4"/>
  </si>
  <si>
    <t>事業者名</t>
    <phoneticPr fontId="4"/>
  </si>
  <si>
    <t>実排出係数</t>
    <phoneticPr fontId="4"/>
  </si>
  <si>
    <t>（参考）調整後排出係数（「戸建独自計算」で使用可能）</t>
    <phoneticPr fontId="4"/>
  </si>
  <si>
    <t>調整後排出係数</t>
    <phoneticPr fontId="4"/>
  </si>
  <si>
    <t>その他</t>
    <phoneticPr fontId="4"/>
  </si>
  <si>
    <t>(2) 上記以外の排出係数</t>
    <phoneticPr fontId="4"/>
  </si>
  <si>
    <t>↑</t>
    <phoneticPr fontId="4"/>
  </si>
  <si>
    <t>「メイン」シートの「電力会社等」で「その他」を選択した場合は必ず入力する。</t>
    <phoneticPr fontId="4"/>
  </si>
  <si>
    <t>注）</t>
    <phoneticPr fontId="4"/>
  </si>
  <si>
    <t>が「戸建標準計算」で用いられる値</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</si>
  <si>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</si>
  <si>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</si>
  <si>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</si>
  <si>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</si>
  <si>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</si>
  <si>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</si>
  <si>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事業者名</t>
  </si>
  <si>
    <t>北海道電力株式会社</t>
  </si>
  <si>
    <t>東北電力株式会社</t>
  </si>
  <si>
    <t>東京電力株式会社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</si>
  <si>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</si>
  <si>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</si>
  <si>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</si>
  <si>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</si>
  <si>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</si>
  <si>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</si>
  <si>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</si>
  <si>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</si>
  <si>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</si>
  <si>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</si>
  <si>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</si>
  <si>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</si>
  <si>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</si>
  <si>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</si>
  <si>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</si>
  <si>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</si>
  <si>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</si>
  <si>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</si>
  <si>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</si>
  <si>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１００㎡≦　延べ面積</t>
    <phoneticPr fontId="4"/>
  </si>
  <si>
    <t>＜入居者数　2人＞</t>
  </si>
  <si>
    <t>延べ面積　＜　３０㎡</t>
    <phoneticPr fontId="4"/>
  </si>
  <si>
    <t>３０㎡≦　延べ面積　＜　７５㎡</t>
    <phoneticPr fontId="4"/>
  </si>
  <si>
    <t>７５㎡≦　延べ面積</t>
    <phoneticPr fontId="4"/>
  </si>
  <si>
    <t>＜入居者数　1人＞</t>
    <phoneticPr fontId="4"/>
  </si>
  <si>
    <t>延べ面積　＜　２５㎡</t>
    <phoneticPr fontId="4"/>
  </si>
  <si>
    <t>２５㎡≦　延べ面積　＜　５５㎡</t>
    <phoneticPr fontId="4"/>
  </si>
  <si>
    <t>５５㎡≦　延べ面積</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</si>
  <si>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</si>
  <si>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</si>
  <si>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</si>
  <si>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</si>
  <si>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</si>
  <si>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</si>
  <si>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</si>
  <si>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</si>
  <si>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</si>
  <si>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</si>
  <si>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</si>
  <si>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</si>
  <si>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</si>
  <si>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</si>
  <si>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</si>
  <si>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</si>
  <si>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</si>
  <si>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</si>
  <si>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</si>
  <si>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</si>
  <si>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</si>
  <si>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</si>
  <si>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</si>
  <si>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</si>
  <si>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</si>
  <si>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</si>
  <si>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</si>
  <si>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</si>
  <si>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</si>
  <si>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</si>
  <si>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</si>
  <si>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</si>
  <si>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</si>
  <si>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</si>
  <si>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</si>
  <si>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</si>
  <si>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</si>
  <si>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</si>
  <si>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</si>
  <si>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</si>
  <si>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</si>
  <si>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</si>
  <si>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</si>
  <si>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消費率</t>
    <rPh sb="0" eb="2">
      <t>ショウヒ</t>
    </rPh>
    <rPh sb="2" eb="3">
      <t>リツ</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</si>
  <si>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</si>
  <si>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</si>
  <si>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</si>
  <si>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</si>
  <si>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</si>
  <si>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</si>
  <si>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</si>
  <si>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</si>
  <si>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</si>
  <si>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</si>
  <si>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</si>
  <si>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</si>
  <si>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</si>
  <si>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</si>
  <si>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</si>
  <si>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</si>
  <si>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</si>
  <si>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</si>
  <si>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</si>
  <si>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合計＝</t>
    <phoneticPr fontId="4"/>
  </si>
  <si>
    <t>合計＝</t>
    <phoneticPr fontId="4"/>
  </si>
  <si>
    <t>①合計＝</t>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</si>
  <si>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</si>
  <si>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</si>
  <si>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</si>
  <si>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</si>
  <si>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</si>
  <si>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</si>
  <si>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</si>
  <si>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</si>
  <si>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</si>
  <si>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</si>
  <si>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</si>
  <si>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</si>
  <si>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</si>
  <si>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</si>
  <si>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</si>
  <si>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</si>
  <si>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</si>
  <si>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</si>
  <si>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</si>
  <si>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</si>
  <si>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</si>
  <si>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</si>
  <si>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</si>
  <si>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</si>
  <si>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</si>
  <si>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</si>
  <si>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</si>
  <si>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地域環境への配慮</t>
    <rPh sb="0" eb="2">
      <t>チイキ</t>
    </rPh>
    <rPh sb="2" eb="4">
      <t>カンキョウ</t>
    </rPh>
    <rPh sb="6" eb="8">
      <t>ハイリョ</t>
    </rPh>
    <phoneticPr fontId="4"/>
  </si>
  <si>
    <t>合計＝</t>
    <phoneticPr fontId="4"/>
  </si>
  <si>
    <t>構造の比率</t>
    <rPh sb="0" eb="2">
      <t>コウゾウ</t>
    </rPh>
    <rPh sb="3" eb="5">
      <t>ヒリツ</t>
    </rPh>
    <phoneticPr fontId="4"/>
  </si>
  <si>
    <t>レベル2</t>
    <phoneticPr fontId="4"/>
  </si>
  <si>
    <t>レベル4</t>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</si>
  <si>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</si>
  <si>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</si>
  <si>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</si>
  <si>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</si>
  <si>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</si>
  <si>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</si>
  <si>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世帯人数</t>
    <rPh sb="0" eb="2">
      <t>ｾﾀｲ</t>
    </rPh>
    <rPh sb="2" eb="4">
      <t>にんずう</t>
    </rPh>
    <phoneticPr fontId="18" type="noConversion"/>
  </si>
  <si>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</si>
  <si>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</si>
  <si>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</si>
  <si>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</si>
  <si>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</si>
  <si>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</si>
  <si>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</si>
  <si>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</si>
  <si>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</si>
  <si>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</si>
  <si>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</si>
  <si>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</si>
  <si>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</si>
  <si>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</si>
  <si>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</si>
  <si>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矢印</t>
    <rPh sb="0" eb="2">
      <t>ヤジルシ</t>
    </rPh>
    <phoneticPr fontId="4"/>
  </si>
  <si>
    <t>オンサイト（マイナス）</t>
    <phoneticPr fontId="4"/>
  </si>
  <si>
    <t>オフサイト（マイナス）</t>
    <phoneticPr fontId="4"/>
  </si>
  <si>
    <t>矢印（マイナス）</t>
    <rPh sb="0" eb="2">
      <t>ヤジルシ</t>
    </rPh>
    <phoneticPr fontId="4"/>
  </si>
  <si>
    <t>特に配慮なし。</t>
    <rPh sb="0" eb="1">
      <t>トク</t>
    </rPh>
    <rPh sb="2" eb="4">
      <t>ハイリョ</t>
    </rPh>
    <phoneticPr fontId="4"/>
  </si>
  <si>
    <t>特に対策なし。</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</si>
  <si>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</si>
  <si>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</si>
  <si>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</si>
  <si>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</si>
  <si>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</si>
  <si>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</si>
  <si>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</si>
  <si>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</si>
  <si>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</si>
  <si>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</si>
  <si>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</si>
  <si>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</si>
  <si>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</si>
  <si>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</si>
  <si>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</si>
  <si>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</si>
  <si>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</si>
  <si>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</si>
  <si>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</si>
  <si>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</si>
  <si>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</si>
  <si>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</si>
  <si>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</si>
  <si>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</si>
  <si>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</si>
  <si>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</si>
  <si>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</si>
  <si>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</si>
  <si>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</si>
  <si>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</si>
  <si>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</si>
  <si>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</si>
  <si>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</si>
  <si>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</si>
  <si>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</si>
  <si>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</si>
  <si>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</si>
  <si>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</si>
  <si>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</si>
  <si>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</si>
  <si>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</si>
  <si>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</si>
  <si>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</si>
  <si>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</si>
  <si>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</si>
  <si>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</si>
  <si>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</si>
  <si>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</si>
  <si>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</si>
  <si>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</si>
  <si>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</si>
  <si>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屋根材で評価する場合</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</si>
  <si>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</si>
  <si>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</si>
  <si>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</si>
  <si>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</si>
  <si>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</si>
  <si>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</si>
  <si>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</si>
  <si>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</si>
  <si>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</si>
  <si>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</si>
  <si>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</si>
  <si>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</si>
  <si>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</si>
  <si>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</si>
  <si>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</si>
  <si>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</si>
  <si>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</si>
  <si>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</si>
  <si>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</si>
  <si>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世帯構成に対応した適正な規模の収納スペースが確保されている。</t>
    <phoneticPr fontId="4"/>
  </si>
  <si>
    <t>対象外</t>
    <rPh sb="0" eb="3">
      <t>タイショウガイ</t>
    </rPh>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</si>
  <si>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</si>
  <si>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</si>
  <si>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</si>
  <si>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</si>
  <si>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</si>
  <si>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</si>
  <si>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</si>
  <si>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</si>
  <si>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</si>
  <si>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</si>
  <si>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</si>
  <si>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</si>
  <si>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</si>
  <si>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</si>
  <si>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</si>
  <si>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</si>
  <si>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</si>
  <si>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</si>
  <si>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</si>
  <si>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</si>
  <si>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</si>
  <si>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</si>
  <si>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</si>
  <si>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</si>
  <si>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</si>
  <si>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</si>
  <si>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</si>
  <si>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</si>
  <si>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</si>
  <si>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</si>
  <si>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</si>
  <si>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</si>
  <si>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</si>
  <si>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</si>
  <si>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</si>
  <si>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</si>
  <si>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</si>
  <si>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</si>
  <si>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</si>
  <si>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</si>
  <si>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</si>
  <si>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</si>
  <si>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</si>
  <si>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</si>
  <si>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</si>
  <si>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</si>
  <si>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</si>
  <si>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</si>
  <si>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</si>
  <si>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</si>
  <si>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</si>
  <si>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</si>
  <si>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</si>
  <si>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</si>
  <si>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</si>
  <si>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</si>
  <si>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</si>
  <si>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</si>
  <si>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</si>
  <si>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</si>
  <si>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</si>
  <si>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</si>
  <si>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</si>
  <si>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</si>
  <si>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</si>
  <si>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</si>
  <si>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</si>
  <si>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</si>
  <si>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</si>
  <si>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</si>
  <si>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</si>
  <si>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</si>
  <si>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</si>
  <si>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</si>
  <si>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</si>
  <si>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</si>
  <si>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</si>
  <si>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</si>
  <si>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</si>
  <si>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</si>
  <si>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</si>
  <si>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</si>
  <si>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</si>
  <si>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</si>
  <si>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</si>
  <si>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</si>
  <si>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</si>
  <si>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</si>
  <si>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</si>
  <si>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</si>
  <si>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</si>
  <si>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</si>
  <si>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</si>
  <si>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</si>
  <si>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</si>
  <si>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</si>
  <si>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</si>
  <si>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</si>
  <si>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</si>
  <si>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</si>
  <si>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</si>
  <si>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</si>
  <si>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</si>
  <si>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</si>
  <si>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</si>
  <si>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</si>
  <si>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</si>
  <si>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</si>
  <si>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</si>
  <si>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</si>
  <si>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</si>
  <si>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</si>
  <si>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</si>
  <si>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</si>
  <si>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</si>
  <si>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</si>
  <si>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</si>
  <si>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</si>
  <si>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</si>
  <si>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</si>
  <si>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</si>
  <si>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</si>
  <si>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</si>
  <si>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</si>
  <si>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</si>
  <si>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</si>
  <si>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</si>
  <si>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</si>
  <si>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</si>
  <si>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</si>
  <si>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</si>
  <si>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</si>
  <si>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</si>
  <si>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</si>
  <si>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</si>
  <si>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</si>
  <si>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</si>
  <si>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</si>
  <si>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</si>
  <si>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</si>
  <si>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</si>
  <si>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</si>
  <si>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</si>
  <si>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</si>
  <si>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</si>
  <si>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</si>
  <si>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</si>
  <si>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</si>
  <si>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</si>
  <si>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</si>
  <si>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</si>
  <si>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</si>
  <si>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</si>
  <si>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</si>
  <si>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</si>
  <si>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</si>
  <si>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</si>
  <si>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</si>
  <si>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</si>
  <si>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</si>
  <si>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50～100年の耐用性が期待される。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</si>
  <si>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</si>
  <si>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</si>
  <si>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</si>
  <si>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</si>
  <si>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</si>
  <si>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</si>
  <si>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</si>
  <si>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</si>
  <si>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</si>
  <si>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</si>
  <si>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</si>
  <si>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</si>
  <si>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レベル４を満たさない。</t>
    <phoneticPr fontId="4"/>
  </si>
  <si>
    <t>屋内の人的</t>
    <phoneticPr fontId="4"/>
  </si>
  <si>
    <t>2　災害発生後の一時的な自立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</si>
  <si>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</si>
  <si>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</si>
  <si>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</si>
  <si>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</si>
  <si>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</si>
  <si>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</si>
  <si>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</si>
  <si>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</si>
  <si>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</si>
  <si>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一次エネルギー消費量による評価</t>
    <phoneticPr fontId="4"/>
  </si>
  <si>
    <t>家電・厨房機器による省エネ</t>
    <rPh sb="10" eb="11">
      <t>ショウ</t>
    </rPh>
    <phoneticPr fontId="4"/>
  </si>
  <si>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</si>
  <si>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</si>
  <si>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</si>
  <si>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</si>
  <si>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</si>
  <si>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</si>
  <si>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</si>
  <si>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</si>
  <si>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</si>
  <si>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</si>
  <si>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</si>
  <si>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</si>
  <si>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</si>
  <si>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</si>
  <si>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</si>
  <si>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</si>
  <si>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</si>
  <si>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</si>
  <si>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</si>
  <si>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</si>
  <si>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水の使用に伴うCO2排出量</t>
    <phoneticPr fontId="4"/>
  </si>
  <si>
    <t>LR1/4.　維持管理の運用の工夫</t>
    <phoneticPr fontId="4"/>
  </si>
  <si>
    <t>低減率</t>
    <phoneticPr fontId="4"/>
  </si>
  <si>
    <t>3-2.　上記+上記以外のオンサイト手法（③）</t>
    <phoneticPr fontId="4"/>
  </si>
  <si>
    <t>N.A.</t>
    <phoneticPr fontId="4"/>
  </si>
  <si>
    <t>kg-CO2/kWh</t>
  </si>
  <si>
    <t>kg-CO2/MJ</t>
  </si>
  <si>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</si>
  <si>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</si>
  <si>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</si>
  <si>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</si>
  <si>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</si>
  <si>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</si>
  <si>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</si>
  <si>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</si>
  <si>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</si>
  <si>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</si>
  <si>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</si>
  <si>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</si>
  <si>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kg-CO2/MJ</t>
    <phoneticPr fontId="4"/>
  </si>
  <si>
    <t>構成比(％)</t>
    <rPh sb="0" eb="3">
      <t>コウセイヒ</t>
    </rPh>
    <phoneticPr fontId="4"/>
  </si>
  <si>
    <t>(灯油＋A重油の平均値）</t>
    <rPh sb="1" eb="3">
      <t>トウユ</t>
    </rPh>
    <rPh sb="5" eb="7">
      <t>ジュウユ</t>
    </rPh>
    <rPh sb="8" eb="11">
      <t>ヘイキンチ</t>
    </rPh>
    <phoneticPr fontId="3"/>
  </si>
  <si>
    <t>CO2換算値</t>
    <rPh sb="3" eb="5">
      <t>カンサン</t>
    </rPh>
    <rPh sb="5" eb="6">
      <t>チ</t>
    </rPh>
    <phoneticPr fontId="4"/>
  </si>
  <si>
    <t>MJ/kWhで換算した値（H25省エネ法告示全日平均）</t>
    <rPh sb="7" eb="9">
      <t>カンサン</t>
    </rPh>
    <rPh sb="11" eb="12">
      <t>アタイ</t>
    </rPh>
    <rPh sb="16" eb="17">
      <t>ショウ</t>
    </rPh>
    <rPh sb="19" eb="20">
      <t>ホウ</t>
    </rPh>
    <rPh sb="20" eb="22">
      <t>コクジ</t>
    </rPh>
    <rPh sb="22" eb="23">
      <t>ゼン</t>
    </rPh>
    <rPh sb="23" eb="24">
      <t>ヒ</t>
    </rPh>
    <rPh sb="24" eb="26">
      <t>ヘイキン</t>
    </rPh>
    <phoneticPr fontId="3"/>
  </si>
  <si>
    <t>（調整後排出係数</t>
    <rPh sb="1" eb="4">
      <t>チョウセイゴ</t>
    </rPh>
    <rPh sb="4" eb="6">
      <t>ハイシュツ</t>
    </rPh>
    <rPh sb="6" eb="8">
      <t>ケイスウ</t>
    </rPh>
    <phoneticPr fontId="4"/>
  </si>
  <si>
    <t>kg-CO2/kWh）</t>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</si>
  <si>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</si>
  <si>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</si>
  <si>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</si>
  <si>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</si>
  <si>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</si>
  <si>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</si>
  <si>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</si>
  <si>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</si>
  <si>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</si>
  <si>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</si>
  <si>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</si>
  <si>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</si>
  <si>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</si>
  <si>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</si>
  <si>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</si>
  <si>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</si>
  <si>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</si>
  <si>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</si>
  <si>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</si>
  <si>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</si>
  <si>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</si>
  <si>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</si>
  <si>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</si>
  <si>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</si>
  <si>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</si>
  <si>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</si>
  <si>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</si>
  <si>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</si>
  <si>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</si>
  <si>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</si>
  <si>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</si>
  <si>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</si>
  <si>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４０㎡≦　延べ面積　＜１００㎡</t>
    <phoneticPr fontId="4"/>
  </si>
  <si>
    <t>野鳥等がエサとすることができる食餌木を植栽すること等に取組んでいる。</t>
    <phoneticPr fontId="4"/>
  </si>
  <si>
    <t>（加点条件をみたせば選択可能）</t>
    <rPh sb="1" eb="3">
      <t>カテン</t>
    </rPh>
    <rPh sb="3" eb="5">
      <t>ジョウケン</t>
    </rPh>
    <rPh sb="10" eb="12">
      <t>センタク</t>
    </rPh>
    <rPh sb="12" eb="14">
      <t>カノウ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</si>
  <si>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</si>
  <si>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</si>
  <si>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</si>
  <si>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</si>
  <si>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</si>
  <si>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</si>
  <si>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</si>
  <si>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地表面被覆材に配慮する
（①又は②に取組んでいること）</t>
    <rPh sb="14" eb="15">
      <t>マタ</t>
    </rPh>
    <phoneticPr fontId="4"/>
  </si>
  <si>
    <t>　　　　   ■使用評価ソフト：</t>
    <rPh sb="8" eb="10">
      <t>シヨウ</t>
    </rPh>
    <rPh sb="10" eb="12">
      <t>ヒョウカ</t>
    </rPh>
    <phoneticPr fontId="4"/>
  </si>
  <si>
    <t>延べ面積　＜　５０㎡</t>
    <phoneticPr fontId="4"/>
  </si>
  <si>
    <t>５０㎡≦　延べ面積　＜１２５㎡</t>
    <phoneticPr fontId="4"/>
  </si>
  <si>
    <t>１２５㎡≦　延べ面積　</t>
    <phoneticPr fontId="4"/>
  </si>
  <si>
    <t>＜入居者数　3人＞</t>
  </si>
  <si>
    <t>リサイクル材の使用</t>
    <phoneticPr fontId="4"/>
  </si>
  <si>
    <t>「持続可能な森林から産出された木材」の使用</t>
    <phoneticPr fontId="4"/>
  </si>
  <si>
    <t>レベル4を満たさない。</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</si>
  <si>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</si>
  <si>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</si>
  <si>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</si>
  <si>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</si>
  <si>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</si>
  <si>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</si>
  <si>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雨水貯留・利用設備を設置している。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</si>
  <si>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</si>
  <si>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</si>
  <si>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</si>
  <si>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</si>
  <si>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</si>
  <si>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</si>
  <si>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</si>
  <si>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</si>
  <si>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</si>
  <si>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</si>
  <si>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</si>
  <si>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</si>
  <si>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</si>
  <si>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</si>
  <si>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</si>
  <si>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</si>
  <si>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</si>
  <si>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</si>
  <si>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</si>
  <si>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</si>
  <si>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</si>
  <si>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</si>
  <si>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</si>
  <si>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</si>
  <si>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</si>
  <si>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</si>
  <si>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</si>
  <si>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</si>
  <si>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液晶・プラズマ</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</si>
  <si>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</si>
  <si>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</si>
  <si>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</si>
  <si>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</si>
  <si>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</si>
  <si>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</si>
  <si>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</si>
  <si>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</si>
  <si>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</si>
  <si>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</si>
  <si>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</si>
  <si>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</si>
  <si>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特に配慮なし。</t>
  </si>
  <si>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</si>
  <si>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</si>
  <si>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</si>
  <si>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</si>
  <si>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</si>
  <si>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</si>
  <si>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</si>
  <si>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</si>
  <si>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</si>
  <si>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</si>
  <si>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</si>
  <si>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</si>
  <si>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</si>
  <si>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</si>
  <si>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</si>
  <si>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</si>
  <si>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</si>
  <si>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</si>
  <si>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</si>
  <si>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</si>
  <si>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</si>
  <si>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</si>
  <si>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地域の資源・文化を守る</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</si>
  <si>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</si>
  <si>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</si>
  <si>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</si>
  <si>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</si>
  <si>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</si>
  <si>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水の節約</t>
    <phoneticPr fontId="4"/>
  </si>
  <si>
    <t>リサイクルの促進</t>
    <phoneticPr fontId="4"/>
  </si>
  <si>
    <t>維持管理と運用の工夫</t>
    <phoneticPr fontId="4"/>
  </si>
  <si>
    <t>評価の実施日</t>
  </si>
  <si>
    <t>作成者</t>
    <phoneticPr fontId="4"/>
  </si>
  <si>
    <t>採点</t>
  </si>
  <si>
    <t>No.</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</si>
  <si>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</si>
  <si>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</si>
  <si>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</si>
  <si>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</si>
  <si>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</si>
  <si>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</si>
  <si>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</si>
  <si>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</si>
  <si>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</si>
  <si>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</si>
  <si>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</si>
  <si>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</si>
  <si>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</si>
  <si>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</si>
  <si>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</si>
  <si>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</si>
  <si>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</si>
  <si>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</si>
  <si>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</si>
  <si>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</si>
  <si>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</si>
  <si>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</si>
  <si>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</si>
  <si>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</si>
  <si>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</si>
  <si>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</si>
  <si>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</si>
  <si>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</si>
  <si>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</si>
  <si>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</si>
  <si>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</si>
  <si>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</si>
  <si>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</si>
  <si>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</si>
  <si>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</si>
  <si>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</si>
  <si>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</si>
  <si>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</si>
  <si>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</si>
  <si>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耐用性が12年未満しか期待されない。</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</si>
  <si>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</si>
  <si>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</si>
  <si>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</si>
  <si>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</si>
  <si>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</si>
  <si>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</si>
  <si>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</si>
  <si>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</si>
  <si>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</si>
  <si>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</si>
  <si>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</si>
  <si>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</si>
  <si>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</si>
  <si>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実排出係数</t>
    <rPh sb="0" eb="1">
      <t>ジツ</t>
    </rPh>
    <rPh sb="1" eb="3">
      <t>ハイシュツ</t>
    </rPh>
    <rPh sb="3" eb="5">
      <t>ケイスウ</t>
    </rPh>
    <phoneticPr fontId="4"/>
  </si>
  <si>
    <t xml:space="preserve"> ④上記+
　オフサイト手法</t>
    <phoneticPr fontId="4"/>
  </si>
  <si>
    <t>-</t>
    <phoneticPr fontId="4"/>
  </si>
  <si>
    <t>-</t>
    <phoneticPr fontId="4"/>
  </si>
  <si>
    <t>-</t>
    <phoneticPr fontId="4"/>
  </si>
  <si>
    <t>-</t>
    <phoneticPr fontId="4"/>
  </si>
  <si>
    <t>-</t>
    <phoneticPr fontId="4"/>
  </si>
  <si>
    <t>-</t>
    <phoneticPr fontId="4"/>
  </si>
  <si>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</si>
  <si>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</si>
  <si>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</si>
  <si>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</si>
  <si>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</si>
  <si>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</si>
  <si>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</si>
  <si>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</si>
  <si>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</si>
  <si>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</si>
  <si>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</si>
  <si>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</si>
  <si>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</si>
  <si>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</si>
  <si>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</si>
  <si>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</si>
  <si>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</si>
  <si>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</si>
  <si>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</si>
  <si>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</si>
  <si>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</si>
  <si>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</si>
  <si>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</si>
  <si>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</si>
  <si>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</si>
  <si>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</si>
  <si>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</si>
  <si>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</si>
  <si>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</si>
  <si>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</si>
  <si>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</si>
  <si>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</si>
  <si>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</si>
  <si>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</si>
  <si>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</si>
  <si>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</si>
  <si>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</si>
  <si>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</si>
  <si>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</si>
  <si>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</si>
  <si>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</si>
  <si>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</si>
  <si>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</si>
  <si>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</si>
  <si>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r>
      <t>c.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</si>
  <si>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</si>
  <si>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</si>
  <si>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</si>
  <si>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</si>
  <si>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</si>
  <si>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</si>
  <si>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</si>
  <si>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</si>
  <si>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</si>
  <si>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</si>
  <si>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</si>
  <si>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</si>
  <si>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</si>
  <si>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</si>
  <si>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MJ/年㎡</t>
    <rPh sb="3" eb="4">
      <t>ネン</t>
    </rPh>
    <phoneticPr fontId="4"/>
  </si>
  <si>
    <t>暖房</t>
  </si>
  <si>
    <t>冷房</t>
  </si>
  <si>
    <t>評価ﾚﾍﾞﾙ</t>
    <phoneticPr fontId="4"/>
  </si>
  <si>
    <t>Ａａ0</t>
    <phoneticPr fontId="4"/>
  </si>
  <si>
    <t>レベル１</t>
  </si>
  <si>
    <t>Ａａ1</t>
    <phoneticPr fontId="4"/>
  </si>
  <si>
    <t>レベル４</t>
  </si>
  <si>
    <t>Ａａ4</t>
    <phoneticPr fontId="4"/>
  </si>
  <si>
    <t>Ａｂ0</t>
    <phoneticPr fontId="4"/>
  </si>
  <si>
    <t>Ａｂ1</t>
    <phoneticPr fontId="4"/>
  </si>
  <si>
    <t>Ａｂ4</t>
    <phoneticPr fontId="4"/>
  </si>
  <si>
    <t>Ｂａ0</t>
    <phoneticPr fontId="4"/>
  </si>
  <si>
    <t>Ｂａ1</t>
    <phoneticPr fontId="4"/>
  </si>
  <si>
    <t>Ｂａ4</t>
  </si>
  <si>
    <t>Ｃａ0</t>
    <phoneticPr fontId="4"/>
  </si>
  <si>
    <t>Ｃａ1</t>
    <phoneticPr fontId="4"/>
  </si>
  <si>
    <t>Ｃａ4</t>
    <phoneticPr fontId="4"/>
  </si>
  <si>
    <t>Ｃｂ0</t>
    <phoneticPr fontId="4"/>
  </si>
  <si>
    <t>Ｃｂ1</t>
    <phoneticPr fontId="4"/>
  </si>
  <si>
    <t>Ｃｂ4</t>
    <phoneticPr fontId="4"/>
  </si>
  <si>
    <t>Ｂｂ0</t>
    <phoneticPr fontId="4"/>
  </si>
  <si>
    <t>Ｂｂ1</t>
    <phoneticPr fontId="4"/>
  </si>
  <si>
    <t>Ｂｂ4</t>
    <phoneticPr fontId="4"/>
  </si>
  <si>
    <t>一次エネ消費量　MJ/年</t>
    <phoneticPr fontId="4"/>
  </si>
  <si>
    <t>CO2換算係数</t>
    <rPh sb="3" eb="5">
      <t>カンサン</t>
    </rPh>
    <rPh sb="5" eb="7">
      <t>ケイスウ</t>
    </rPh>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</si>
  <si>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</si>
  <si>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</si>
  <si>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</si>
  <si>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</si>
  <si>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</si>
  <si>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t>㎡</t>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</si>
  <si>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</si>
  <si>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</si>
  <si>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</si>
  <si>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</si>
  <si>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</si>
  <si>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</si>
  <si>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</si>
  <si>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</si>
  <si>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</si>
  <si>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</si>
  <si>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</si>
  <si>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</si>
  <si>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</si>
  <si>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</si>
  <si>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</si>
  <si>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</si>
  <si>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</si>
  <si>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</si>
  <si>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</si>
  <si>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</si>
  <si>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日本住宅性能表示基準「5-1断熱等性能等級」における等級１を満たす。</t>
    <phoneticPr fontId="4"/>
  </si>
  <si>
    <t>日本住宅性能表示基準「5-1断熱等性能等級」における等級２を満たす。</t>
    <phoneticPr fontId="4"/>
  </si>
  <si>
    <t>日本住宅性能表示基準「5-1断熱等性能等級」における等級３を満たす。</t>
    <phoneticPr fontId="4"/>
  </si>
  <si>
    <t>日本住宅性能表示基準「5-1断熱等性能等級」における等級４を満たす。</t>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</si>
  <si>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</si>
  <si>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</si>
  <si>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</si>
  <si>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</si>
  <si>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</si>
  <si>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</si>
  <si>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</si>
  <si>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</si>
  <si>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</si>
  <si>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</si>
  <si>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</si>
  <si>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</si>
  <si>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</si>
  <si>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レベル４</t>
    <phoneticPr fontId="4"/>
  </si>
  <si>
    <t>算定プログラムによる評価</t>
    <rPh sb="0" eb="2">
      <t>サンテイ</t>
    </rPh>
    <rPh sb="10" eb="12">
      <t>ヒョウカ</t>
    </rPh>
    <phoneticPr fontId="4"/>
  </si>
  <si>
    <t>太陽光発電等による発電量</t>
    <rPh sb="0" eb="3">
      <t>タイヨウコウ</t>
    </rPh>
    <rPh sb="3" eb="5">
      <t>ハツデン</t>
    </rPh>
    <rPh sb="5" eb="6">
      <t>トウ</t>
    </rPh>
    <rPh sb="9" eb="11">
      <t>ハツデン</t>
    </rPh>
    <rPh sb="11" eb="12">
      <t>リョウ</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</si>
  <si>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</si>
  <si>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</si>
  <si>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</si>
  <si>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t>D.評価量</t>
    <rPh sb="2" eb="4">
      <t>ヒョウカ</t>
    </rPh>
    <rPh sb="4" eb="5">
      <t>リョウ</t>
    </rPh>
    <phoneticPr fontId="4"/>
  </si>
  <si>
    <t>E.総発電量</t>
    <rPh sb="2" eb="3">
      <t>ソウ</t>
    </rPh>
    <rPh sb="3" eb="5">
      <t>ハツデン</t>
    </rPh>
    <rPh sb="5" eb="6">
      <t>リョウ</t>
    </rPh>
    <phoneticPr fontId="4"/>
  </si>
  <si>
    <t>F.設計一次エネルギー消費量</t>
    <rPh sb="2" eb="4">
      <t>セッケイ</t>
    </rPh>
    <rPh sb="4" eb="6">
      <t>イチジ</t>
    </rPh>
    <rPh sb="11" eb="14">
      <t>ショウヒリョウ</t>
    </rPh>
    <phoneticPr fontId="4"/>
  </si>
  <si>
    <t>G.総発電量</t>
    <rPh sb="2" eb="3">
      <t>ソウ</t>
    </rPh>
    <rPh sb="3" eb="5">
      <t>ハツデン</t>
    </rPh>
    <rPh sb="5" eb="6">
      <t>リョウ</t>
    </rPh>
    <phoneticPr fontId="4"/>
  </si>
  <si>
    <r>
      <t>1.1.1</t>
    </r>
    <r>
      <rPr>
        <b/>
        <sz val="12"/>
        <rFont val="ＭＳ Ｐゴシック"/>
        <family val="3"/>
        <charset val="128"/>
      </rPr>
      <t>　断熱等性能の確保</t>
    </r>
    <rPh sb="8" eb="9">
      <t>ナド</t>
    </rPh>
    <phoneticPr fontId="4"/>
  </si>
  <si>
    <t>断熱等性能の確保</t>
    <rPh sb="2" eb="3">
      <t>ナド</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</si>
  <si>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</si>
  <si>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</si>
  <si>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</si>
  <si>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</si>
  <si>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太陽光発電等エネルギー総量（③ｵﾝｻｲﾄの取組）</t>
  </si>
  <si>
    <t>＜参考＞
平成24年度の電気事業者ごとの実排出係数・調整後排出係数等</t>
    <phoneticPr fontId="4"/>
  </si>
  <si>
    <t>－</t>
  </si>
  <si>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</si>
  <si>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</si>
  <si>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</si>
  <si>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</si>
  <si>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 xml:space="preserve"> ■使用評価マニュアル：</t>
    <phoneticPr fontId="4"/>
  </si>
  <si>
    <t>太陽光なしで計算した結果
※W発電時のみ必ず入力</t>
    <rPh sb="20" eb="21">
      <t>カナラ</t>
    </rPh>
    <phoneticPr fontId="4"/>
  </si>
  <si>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こだて</t>
    </rPh>
    <phoneticPr fontId="18" type="noConversion"/>
  </si>
  <si>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</si>
  <si>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</si>
  <si>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</si>
  <si>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</si>
  <si>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</si>
  <si>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</si>
  <si>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総合的な省エネ</t>
    <phoneticPr fontId="4"/>
  </si>
  <si>
    <t>LR1.1　総合的な省エネ</t>
    <phoneticPr fontId="4"/>
  </si>
  <si>
    <t>LR1.2.1　節水型設備</t>
    <phoneticPr fontId="4"/>
  </si>
  <si>
    <t>仕様基準でLR1.1を評価した場合</t>
    <rPh sb="0" eb="2">
      <t>シヨウ</t>
    </rPh>
    <rPh sb="2" eb="4">
      <t>キジュン</t>
    </rPh>
    <rPh sb="11" eb="13">
      <t>ヒョウカ</t>
    </rPh>
    <rPh sb="15" eb="17">
      <t>バアイ</t>
    </rPh>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</si>
  <si>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</si>
  <si>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</si>
  <si>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</si>
  <si>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LR1.1.1 仕様基準評価の場合のCO2排出量算出に用いる一次エネルギー消費量</t>
    <rPh sb="8" eb="10">
      <t>シヨウ</t>
    </rPh>
    <rPh sb="10" eb="12">
      <t>キジュン</t>
    </rPh>
    <rPh sb="12" eb="14">
      <t>ヒョウカ</t>
    </rPh>
    <rPh sb="15" eb="17">
      <t>バアイ</t>
    </rPh>
    <phoneticPr fontId="4"/>
  </si>
  <si>
    <t>ＬＲ1.1.1の</t>
    <phoneticPr fontId="4"/>
  </si>
  <si>
    <t>図を貼り付けるときは</t>
    <rPh sb="0" eb="1">
      <t>ズ</t>
    </rPh>
    <rPh sb="2" eb="3">
      <t>ハ</t>
    </rPh>
    <rPh sb="4" eb="5">
      <t>ツ</t>
    </rPh>
    <phoneticPr fontId="4"/>
  </si>
  <si>
    <t>シートの保護を解除してください</t>
    <phoneticPr fontId="4"/>
  </si>
  <si>
    <t>重点
項目等</t>
    <rPh sb="0" eb="2">
      <t>ジュウテン</t>
    </rPh>
    <rPh sb="3" eb="5">
      <t>コウモク</t>
    </rPh>
    <rPh sb="5" eb="6">
      <t>トウ</t>
    </rPh>
    <phoneticPr fontId="22"/>
  </si>
  <si>
    <t>重点項目等に対する全国版評価基準の見直し</t>
    <rPh sb="0" eb="2">
      <t>ジュウテン</t>
    </rPh>
    <rPh sb="2" eb="4">
      <t>コウモク</t>
    </rPh>
    <rPh sb="4" eb="5">
      <t>トウ</t>
    </rPh>
    <rPh sb="6" eb="7">
      <t>タイ</t>
    </rPh>
    <rPh sb="9" eb="12">
      <t>ゼンコクバン</t>
    </rPh>
    <rPh sb="12" eb="14">
      <t>ヒョウカ</t>
    </rPh>
    <rPh sb="14" eb="16">
      <t>キジュン</t>
    </rPh>
    <rPh sb="17" eb="19">
      <t>ミナオ</t>
    </rPh>
    <phoneticPr fontId="22"/>
  </si>
  <si>
    <t>●自然</t>
    <rPh sb="1" eb="3">
      <t>シゼン</t>
    </rPh>
    <phoneticPr fontId="4"/>
  </si>
  <si>
    <t>Ｂ（推奨内容）</t>
    <rPh sb="1" eb="3">
      <t>スイショウ</t>
    </rPh>
    <rPh sb="3" eb="5">
      <t>ナイヨウ</t>
    </rPh>
    <phoneticPr fontId="22"/>
  </si>
  <si>
    <t>Ａ’（全国版準用）</t>
    <rPh sb="2" eb="5">
      <t>ゼンコクバン</t>
    </rPh>
    <rPh sb="5" eb="7">
      <t>ジュンヨウ</t>
    </rPh>
    <phoneticPr fontId="22"/>
  </si>
  <si>
    <t>●大切</t>
    <rPh sb="1" eb="3">
      <t>タイセツ</t>
    </rPh>
    <phoneticPr fontId="4"/>
  </si>
  <si>
    <t>Ａ（全国版準用）</t>
    <rPh sb="1" eb="4">
      <t>ゼンコクバン</t>
    </rPh>
    <rPh sb="4" eb="6">
      <t>ジュンヨウ</t>
    </rPh>
    <phoneticPr fontId="22"/>
  </si>
  <si>
    <t>○</t>
    <phoneticPr fontId="4"/>
  </si>
  <si>
    <t>Ｃ（独自加点）
Ｄ（独自基準）</t>
    <rPh sb="2" eb="4">
      <t>ドクジ</t>
    </rPh>
    <rPh sb="4" eb="6">
      <t>カテン</t>
    </rPh>
    <phoneticPr fontId="22"/>
  </si>
  <si>
    <t>●とも</t>
    <phoneticPr fontId="4"/>
  </si>
  <si>
    <t>Ｄ（独自基準）</t>
    <rPh sb="1" eb="3">
      <t>ドクジ</t>
    </rPh>
    <rPh sb="3" eb="5">
      <t>キジュン</t>
    </rPh>
    <phoneticPr fontId="22"/>
  </si>
  <si>
    <t>●大切，自然</t>
    <rPh sb="1" eb="3">
      <t>タイセツ</t>
    </rPh>
    <rPh sb="4" eb="6">
      <t>シゼン</t>
    </rPh>
    <phoneticPr fontId="4"/>
  </si>
  <si>
    <t>Ｂ（推奨内容）
Ｃ（独自加点）</t>
    <rPh sb="10" eb="12">
      <t>ドクジ</t>
    </rPh>
    <rPh sb="11" eb="13">
      <t>カテン</t>
    </rPh>
    <phoneticPr fontId="22"/>
  </si>
  <si>
    <t>Ｂ（推奨内容）
Ｄ（独自基準）</t>
    <rPh sb="9" eb="11">
      <t>ドクジ</t>
    </rPh>
    <rPh sb="11" eb="13">
      <t>キジュン</t>
    </rPh>
    <phoneticPr fontId="22"/>
  </si>
  <si>
    <t>○</t>
    <phoneticPr fontId="4"/>
  </si>
  <si>
    <t>●とも</t>
    <phoneticPr fontId="4"/>
  </si>
  <si>
    <t>記号凡例　●：重点項目　○：低炭素景観創出に係る項目</t>
    <rPh sb="0" eb="2">
      <t>キゴウ</t>
    </rPh>
    <rPh sb="2" eb="4">
      <t>ハンレイ</t>
    </rPh>
    <phoneticPr fontId="4"/>
  </si>
  <si>
    <t>重点項目キーワード凡例　「大切」：大切に使う　「とも」ともに使う　「自然」：自然からつくる</t>
    <rPh sb="0" eb="2">
      <t>ジュウテン</t>
    </rPh>
    <rPh sb="2" eb="4">
      <t>コウモク</t>
    </rPh>
    <rPh sb="9" eb="11">
      <t>ハンレイ</t>
    </rPh>
    <phoneticPr fontId="4"/>
  </si>
  <si>
    <t>「低炭素景観の創出」「独自システム」に寄与する関連項目の取組</t>
    <rPh sb="11" eb="13">
      <t>ドクジ</t>
    </rPh>
    <phoneticPr fontId="4"/>
  </si>
  <si>
    <t>　</t>
  </si>
  <si>
    <t>格子（ルーバー），簾（状スクリーン）や，軒（出が概ね90cm以上）により日射調整をしたり，落葉樹等の植物で日差しを遮る工夫をする等，推奨内容の取組みを１以上実施している。</t>
    <rPh sb="64" eb="65">
      <t>ナド</t>
    </rPh>
    <rPh sb="66" eb="68">
      <t>スイショウ</t>
    </rPh>
    <rPh sb="68" eb="70">
      <t>ナイヨウ</t>
    </rPh>
    <rPh sb="71" eb="73">
      <t>トリク</t>
    </rPh>
    <rPh sb="76" eb="78">
      <t>イジョウ</t>
    </rPh>
    <rPh sb="78" eb="80">
      <t>ジッシ</t>
    </rPh>
    <phoneticPr fontId="4"/>
  </si>
  <si>
    <t>坪庭（中庭），軒，縁など，推奨内容として挙げている昼光利用設備を１種類以上採用している</t>
    <rPh sb="13" eb="15">
      <t>スイショウ</t>
    </rPh>
    <rPh sb="15" eb="17">
      <t>ナイヨウ</t>
    </rPh>
    <rPh sb="20" eb="21">
      <t>ア</t>
    </rPh>
    <rPh sb="25" eb="27">
      <t>チュウコウ</t>
    </rPh>
    <rPh sb="27" eb="29">
      <t>リヨウ</t>
    </rPh>
    <rPh sb="29" eb="31">
      <t>セツビ</t>
    </rPh>
    <rPh sb="33" eb="37">
      <t>シュルイイジョウ</t>
    </rPh>
    <rPh sb="37" eb="39">
      <t>サイヨウ</t>
    </rPh>
    <phoneticPr fontId="4"/>
  </si>
  <si>
    <t>以下の何れかの取り組みを条件に，推奨内容である自然素材の使用を実施している。
・ 軒や庇の設置など，外壁保護の措置が図られている。
・ 部分補修が可能などメンテナンスの容易さにより，長期の持続性を維持できる。
・ 維持管理の体制が構築されている。（具体的には，QH2.2.2においてレベル4以上の場合）</t>
    <phoneticPr fontId="4"/>
  </si>
  <si>
    <t>設計者や施工者が，必要に応じて随時点検を行う契約をしている，あるいは習慣となっているなど，施主と設計者・施工者との間に良好なコミュニケーシヨンが維持されている。または，地域にネットワークがあり，それに参加している。</t>
    <phoneticPr fontId="4"/>
  </si>
  <si>
    <t>基準</t>
    <phoneticPr fontId="4"/>
  </si>
  <si>
    <t>周辺のまちなみや景観に対して配慮されておらず，まちなみや景観から突出し，調和していない。</t>
  </si>
  <si>
    <t>建造物修景地区にあり，届出が行われている。または，届出の義務はないが，標準的な配慮が行われている。</t>
    <rPh sb="0" eb="3">
      <t>ケンゾウブツ</t>
    </rPh>
    <rPh sb="3" eb="4">
      <t>オサ</t>
    </rPh>
    <rPh sb="4" eb="5">
      <t>カゲル</t>
    </rPh>
    <rPh sb="5" eb="7">
      <t>チク</t>
    </rPh>
    <phoneticPr fontId="4"/>
  </si>
  <si>
    <t>景観地区，風致地区にあり，認定または許可を得ている。</t>
    <phoneticPr fontId="4"/>
  </si>
  <si>
    <t>伝統的建造物保存地区，歴史的修景地区等，様式が定められた地区にあり，基準に適合している。</t>
    <phoneticPr fontId="4"/>
  </si>
  <si>
    <t>その1</t>
    <phoneticPr fontId="4"/>
  </si>
  <si>
    <t>「低炭素景観の創出」に寄与する関連項目の過半数について取り組んでいる。</t>
    <phoneticPr fontId="4"/>
  </si>
  <si>
    <t>その2</t>
    <phoneticPr fontId="4"/>
  </si>
  <si>
    <t>Q3/3.1（地域への安心・安全）がレベル5である。</t>
    <rPh sb="7" eb="9">
      <t>チイキ</t>
    </rPh>
    <rPh sb="11" eb="13">
      <t>アンシン</t>
    </rPh>
    <rPh sb="14" eb="16">
      <t>アンゼン</t>
    </rPh>
    <phoneticPr fontId="4"/>
  </si>
  <si>
    <t>レベル</t>
    <phoneticPr fontId="4"/>
  </si>
  <si>
    <t>「低炭素景観の創出」に寄与する関連項目の取組</t>
    <phoneticPr fontId="4"/>
  </si>
  <si>
    <t>該当</t>
    <rPh sb="0" eb="2">
      <t>ガイトウ</t>
    </rPh>
    <phoneticPr fontId="4"/>
  </si>
  <si>
    <t>景観要素として評価する内容</t>
    <rPh sb="0" eb="2">
      <t>ケイカン</t>
    </rPh>
    <rPh sb="2" eb="4">
      <t>ヨウソ</t>
    </rPh>
    <rPh sb="7" eb="9">
      <t>ヒョウカ</t>
    </rPh>
    <rPh sb="11" eb="13">
      <t>ナイヨウ</t>
    </rPh>
    <phoneticPr fontId="4"/>
  </si>
  <si>
    <t>低炭素景観との関係性</t>
    <phoneticPr fontId="4"/>
  </si>
  <si>
    <t>条件</t>
    <phoneticPr fontId="4"/>
  </si>
  <si>
    <t>QH1/1.1.2</t>
    <phoneticPr fontId="4"/>
  </si>
  <si>
    <t>日射の調整機能</t>
    <rPh sb="0" eb="2">
      <t>ニッシャ</t>
    </rPh>
    <rPh sb="3" eb="5">
      <t>チョウセイ</t>
    </rPh>
    <rPh sb="5" eb="7">
      <t>キノウ</t>
    </rPh>
    <phoneticPr fontId="4"/>
  </si>
  <si>
    <t>格子ルーバーや簾状スクリーン，軒</t>
    <phoneticPr fontId="4"/>
  </si>
  <si>
    <t>伝統的意匠要素を形だけではなく環境制御装置として評価（環境制御と意匠要素の融合を評価）</t>
    <phoneticPr fontId="4"/>
  </si>
  <si>
    <t>レベル３以上で，かつ，推奨内容の取組みを１以上実施している場合</t>
  </si>
  <si>
    <t>QH1/3.1</t>
    <phoneticPr fontId="4"/>
  </si>
  <si>
    <t>昼光の利用</t>
    <phoneticPr fontId="4"/>
  </si>
  <si>
    <t>坪庭や軒，縁など</t>
    <phoneticPr fontId="4"/>
  </si>
  <si>
    <t>同上</t>
    <rPh sb="0" eb="2">
      <t>ドウジョウ</t>
    </rPh>
    <phoneticPr fontId="4"/>
  </si>
  <si>
    <t>レベル３以上で，かつ，推奨内容として挙げている昼光利用設備を１種類以上採用している場合</t>
  </si>
  <si>
    <t>QH2/1.2</t>
    <phoneticPr fontId="4"/>
  </si>
  <si>
    <t>外壁材</t>
    <phoneticPr fontId="4"/>
  </si>
  <si>
    <t>自然素材を用い，軒や庇により保護したもの</t>
    <phoneticPr fontId="4"/>
  </si>
  <si>
    <t>自然素材の使用自体が景観・低炭素化の両面から評価できるが，さらにそれを保護するための装置として伝統的意匠要素を評価</t>
    <phoneticPr fontId="4"/>
  </si>
  <si>
    <t>レベル３以上で，かつ，推奨内容の取組みを実施している場合</t>
  </si>
  <si>
    <t>QH3/4</t>
    <phoneticPr fontId="4"/>
  </si>
  <si>
    <t>地域資源の活用
と住文化の継承</t>
    <phoneticPr fontId="4"/>
  </si>
  <si>
    <t>歴史性への配慮（伝統技術，歴史資産の保全等），自然素材の利用</t>
    <phoneticPr fontId="4"/>
  </si>
  <si>
    <t>地域産自然素材の使用自体が景観・低炭素化の両面から評価可能。また，地域の伝統構法・技術は，グローバルな技術によらない持続可能性の向上に繋がる。さらに，景観政策では評価しきれない歴史性や文化性への配慮を評価</t>
    <phoneticPr fontId="4"/>
  </si>
  <si>
    <t>レベル４以上の場合</t>
    <phoneticPr fontId="4"/>
  </si>
  <si>
    <t>LRH2/1.3</t>
    <phoneticPr fontId="4"/>
  </si>
  <si>
    <t>外装材</t>
    <phoneticPr fontId="4"/>
  </si>
  <si>
    <t>自然素材</t>
    <phoneticPr fontId="4"/>
  </si>
  <si>
    <t>自然素材の使用自体が景観・低炭素化の両面から評価可能</t>
    <phoneticPr fontId="4"/>
  </si>
  <si>
    <t>レベル３以上で，かつ，外装の一定割合以上で(面積比で20％を超えて)「自然素材」を採用している場合</t>
  </si>
  <si>
    <t>LRH2/1.5</t>
    <phoneticPr fontId="4"/>
  </si>
  <si>
    <t>外構材</t>
    <phoneticPr fontId="4"/>
  </si>
  <si>
    <t>同上</t>
    <phoneticPr fontId="4"/>
  </si>
  <si>
    <t>レベル３以上で，かつ，外構の一定割合以上で(体積比で20％を超えて)評価する取組みの２から５までの何れかの取組みを採用している場合</t>
  </si>
  <si>
    <t>LRH3/2.2</t>
    <phoneticPr fontId="4"/>
  </si>
  <si>
    <t>既存の自然環境の保全</t>
    <phoneticPr fontId="4"/>
  </si>
  <si>
    <t>既存樹木の保全，自生種の採用，庭の連担等</t>
    <phoneticPr fontId="4"/>
  </si>
  <si>
    <t>既存の自然環境（京都では都市居住環境を含める）の保全は都市の持続可能性を高め低炭素化に貢献するとともに，都市景観としても評価可能</t>
    <phoneticPr fontId="4"/>
  </si>
  <si>
    <t>LRH3/3.1</t>
  </si>
  <si>
    <t>騒音・振動・排気・廃熱の低減</t>
    <rPh sb="12" eb="14">
      <t>テイゲン</t>
    </rPh>
    <phoneticPr fontId="4"/>
  </si>
  <si>
    <t>室外機の設置場所，障壁措置等の配慮，室外機の不設置</t>
    <phoneticPr fontId="4"/>
  </si>
  <si>
    <t>空調等の室外機は，景観上統御すべき要素であるが，その統御を，見え方だけでなく，周囲の空気環境という点からも評価。また，周囲の自然環境利用促進にも繋がる。</t>
    <phoneticPr fontId="4"/>
  </si>
  <si>
    <t>LRH3/3.2</t>
  </si>
  <si>
    <t>周辺温熱環境の改善</t>
    <phoneticPr fontId="4"/>
  </si>
  <si>
    <t>通風のための空地確保，緑化，軒・庇による日射遮蔽，保水・浸透性の確保等</t>
    <phoneticPr fontId="4"/>
  </si>
  <si>
    <t>周辺温熱環境の改善措置が形や材料となってあらわれたものを評価</t>
    <phoneticPr fontId="4"/>
  </si>
  <si>
    <t>-</t>
    <phoneticPr fontId="4"/>
  </si>
  <si>
    <t>評価する取組み</t>
    <phoneticPr fontId="4"/>
  </si>
  <si>
    <t>取組み</t>
    <phoneticPr fontId="4"/>
  </si>
  <si>
    <t>歴史性への配慮</t>
    <rPh sb="0" eb="3">
      <t>レキシセイ</t>
    </rPh>
    <rPh sb="5" eb="7">
      <t>ハイリョ</t>
    </rPh>
    <phoneticPr fontId="4"/>
  </si>
  <si>
    <t>地域で育まれてきた伝統構法を採用している。</t>
    <rPh sb="9" eb="11">
      <t>デントウ</t>
    </rPh>
    <phoneticPr fontId="4"/>
  </si>
  <si>
    <t>地域で育まれてきた伝統技術*を採用している。</t>
    <phoneticPr fontId="4"/>
  </si>
  <si>
    <t>地域の歴史資産の保全・活用を行なっている。</t>
    <phoneticPr fontId="4"/>
  </si>
  <si>
    <t>地域の住文化を象徴する住宅等建物の保存・復元をしている。</t>
    <phoneticPr fontId="4"/>
  </si>
  <si>
    <t>背面空地や坪庭の連担等，既存の都市居住環境を保全している。</t>
    <phoneticPr fontId="4"/>
  </si>
  <si>
    <t>居住者と施工者，設計者や地域住民との交流やコミュニケーションを図る場を設けている。</t>
    <phoneticPr fontId="4"/>
  </si>
  <si>
    <t>自然素材の利用</t>
    <rPh sb="0" eb="2">
      <t>シゼン</t>
    </rPh>
    <rPh sb="2" eb="4">
      <t>ソザイ</t>
    </rPh>
    <rPh sb="5" eb="7">
      <t>リヨウ</t>
    </rPh>
    <phoneticPr fontId="4"/>
  </si>
  <si>
    <t>地域産材を積極的に活用している。</t>
    <phoneticPr fontId="4"/>
  </si>
  <si>
    <t>木材以外の地域の資源**が活用されている。</t>
    <phoneticPr fontId="4"/>
  </si>
  <si>
    <t>または，レベル３に加え，設備等に限らず，省エネルギー・低炭素化に繋がる生活スタイルを誘発する，または前提とした建築計画となっている。（自由記述による）</t>
    <phoneticPr fontId="4"/>
  </si>
  <si>
    <t>「独自システム」に寄与する関連項目の取組</t>
    <rPh sb="1" eb="3">
      <t>ドクジ</t>
    </rPh>
    <phoneticPr fontId="4"/>
  </si>
  <si>
    <t>持続可能な森林から産出された木材のうち，50％以上地域産木材を使用している。</t>
    <rPh sb="0" eb="2">
      <t>ジゾク</t>
    </rPh>
    <rPh sb="2" eb="4">
      <t>カノウ</t>
    </rPh>
    <rPh sb="5" eb="7">
      <t>シンリン</t>
    </rPh>
    <rPh sb="9" eb="11">
      <t>サンシュツ</t>
    </rPh>
    <rPh sb="14" eb="16">
      <t>モクザイ</t>
    </rPh>
    <rPh sb="23" eb="25">
      <t>イジョウ</t>
    </rPh>
    <rPh sb="25" eb="27">
      <t>チイキ</t>
    </rPh>
    <rPh sb="27" eb="28">
      <t>サン</t>
    </rPh>
    <rPh sb="28" eb="30">
      <t>モクザイ</t>
    </rPh>
    <rPh sb="31" eb="33">
      <t>シヨウ</t>
    </rPh>
    <phoneticPr fontId="4"/>
  </si>
  <si>
    <t>No.</t>
    <phoneticPr fontId="4"/>
  </si>
  <si>
    <t>加点ポイント</t>
    <rPh sb="0" eb="2">
      <t>カテン</t>
    </rPh>
    <phoneticPr fontId="4"/>
  </si>
  <si>
    <t>構造躯体の一定割合以上(面積比で20％以上）に，リユース材または自然に還る素材を使用している。</t>
    <rPh sb="12" eb="15">
      <t>メンセキヒ</t>
    </rPh>
    <rPh sb="19" eb="21">
      <t>イジョウ</t>
    </rPh>
    <phoneticPr fontId="4"/>
  </si>
  <si>
    <t>構造躯体の過半に，リユース材または自然に還る素材を使用している。</t>
  </si>
  <si>
    <t>「低炭素景観の創出」に寄与する関連項目の取組</t>
    <phoneticPr fontId="4"/>
  </si>
  <si>
    <t>外装の一定割合以上で(面積比で20％を超えて)「自然素材」を採用している。</t>
    <rPh sb="0" eb="2">
      <t>ガイソウ</t>
    </rPh>
    <rPh sb="3" eb="5">
      <t>イッテイ</t>
    </rPh>
    <rPh sb="5" eb="7">
      <t>ワリアイ</t>
    </rPh>
    <rPh sb="7" eb="9">
      <t>イジョウ</t>
    </rPh>
    <rPh sb="11" eb="13">
      <t>メンセキ</t>
    </rPh>
    <rPh sb="13" eb="14">
      <t>ヒ</t>
    </rPh>
    <rPh sb="19" eb="20">
      <t>コ</t>
    </rPh>
    <rPh sb="24" eb="26">
      <t>シゼン</t>
    </rPh>
    <rPh sb="26" eb="28">
      <t>ソザイ</t>
    </rPh>
    <rPh sb="30" eb="32">
      <t>サイヨウ</t>
    </rPh>
    <phoneticPr fontId="4"/>
  </si>
  <si>
    <t>省資源に役立つ材料として評価される持続可能な森林から産出された木材のうち，50％以上地域産木材を使用している。</t>
    <rPh sb="0" eb="3">
      <t>ショウシゲン</t>
    </rPh>
    <rPh sb="4" eb="6">
      <t>ヤクダ</t>
    </rPh>
    <rPh sb="7" eb="9">
      <t>ザイリョウ</t>
    </rPh>
    <rPh sb="12" eb="14">
      <t>ヒョウカ</t>
    </rPh>
    <rPh sb="17" eb="19">
      <t>ジゾク</t>
    </rPh>
    <rPh sb="19" eb="21">
      <t>カノウ</t>
    </rPh>
    <rPh sb="22" eb="24">
      <t>シンリン</t>
    </rPh>
    <rPh sb="26" eb="28">
      <t>サンシュツ</t>
    </rPh>
    <rPh sb="31" eb="33">
      <t>モクザイ</t>
    </rPh>
    <rPh sb="40" eb="42">
      <t>イジョウ</t>
    </rPh>
    <rPh sb="42" eb="44">
      <t>チイキ</t>
    </rPh>
    <rPh sb="44" eb="45">
      <t>サン</t>
    </rPh>
    <rPh sb="45" eb="47">
      <t>モクザイ</t>
    </rPh>
    <rPh sb="48" eb="50">
      <t>シヨウ</t>
    </rPh>
    <phoneticPr fontId="4"/>
  </si>
  <si>
    <t>その1</t>
  </si>
  <si>
    <t>内装の一定割合以上(面積比で20％以上）に，既存建築躯体等のリユース材，または地域産木材，または自然に還る素材が使用されている。</t>
  </si>
  <si>
    <t>その2</t>
  </si>
  <si>
    <t>内装の過半に，既存建築躯体等のリユース材，または地域産木材，または自然に還る素材が使用されている。</t>
  </si>
  <si>
    <t>自然素材で廃棄エネルギーが少ないもの</t>
    <phoneticPr fontId="4"/>
  </si>
  <si>
    <t>・地域で産出された土
・地域で産出された石　等</t>
    <phoneticPr fontId="4"/>
  </si>
  <si>
    <t>利用可能になるまでの期間が短く資源枯渇の恐れが少ない植物由来の自然素材の使用</t>
    <phoneticPr fontId="4"/>
  </si>
  <si>
    <t>「低炭素景観の創出」に寄与する関連項目の取組</t>
    <phoneticPr fontId="4"/>
  </si>
  <si>
    <t>外構の一定割合以上で(体積比で20％を超えて)評価する取組みの２から５までの何れかの取組みを採用している。</t>
    <rPh sb="0" eb="1">
      <t>ソト</t>
    </rPh>
    <rPh sb="3" eb="5">
      <t>イッテイ</t>
    </rPh>
    <rPh sb="5" eb="7">
      <t>ワリアイ</t>
    </rPh>
    <rPh sb="7" eb="9">
      <t>イジョウ</t>
    </rPh>
    <rPh sb="11" eb="13">
      <t>タイセキ</t>
    </rPh>
    <rPh sb="13" eb="14">
      <t>ヒ</t>
    </rPh>
    <rPh sb="19" eb="20">
      <t>コ</t>
    </rPh>
    <rPh sb="23" eb="25">
      <t>ヒョウカ</t>
    </rPh>
    <rPh sb="27" eb="29">
      <t>トリク</t>
    </rPh>
    <rPh sb="38" eb="39">
      <t>イズ</t>
    </rPh>
    <rPh sb="42" eb="44">
      <t>トリク</t>
    </rPh>
    <rPh sb="46" eb="48">
      <t>サイヨウ</t>
    </rPh>
    <phoneticPr fontId="4"/>
  </si>
  <si>
    <t>地域産木材を使用し，かつ京都市地域内の工場で加工された，ウッドマイレージの小さい材を使用している。または現地で得られるリユース材（古材）を積極的に使用している。</t>
    <rPh sb="0" eb="2">
      <t>チイキ</t>
    </rPh>
    <rPh sb="2" eb="3">
      <t>サン</t>
    </rPh>
    <rPh sb="3" eb="5">
      <t>モクザイ</t>
    </rPh>
    <rPh sb="6" eb="8">
      <t>シヨウ</t>
    </rPh>
    <rPh sb="12" eb="13">
      <t>キョウ</t>
    </rPh>
    <rPh sb="13" eb="15">
      <t>トシ</t>
    </rPh>
    <rPh sb="15" eb="17">
      <t>チイキ</t>
    </rPh>
    <rPh sb="17" eb="18">
      <t>ナイ</t>
    </rPh>
    <rPh sb="19" eb="21">
      <t>コウジョウ</t>
    </rPh>
    <rPh sb="22" eb="24">
      <t>カコウ</t>
    </rPh>
    <rPh sb="37" eb="38">
      <t>チイ</t>
    </rPh>
    <rPh sb="40" eb="41">
      <t>ザイ</t>
    </rPh>
    <rPh sb="42" eb="44">
      <t>シヨウ</t>
    </rPh>
    <rPh sb="52" eb="54">
      <t>ゲンチ</t>
    </rPh>
    <rPh sb="55" eb="56">
      <t>エ</t>
    </rPh>
    <rPh sb="63" eb="64">
      <t>ザイ</t>
    </rPh>
    <rPh sb="65" eb="67">
      <t>コザイ</t>
    </rPh>
    <rPh sb="69" eb="72">
      <t>セッキョクテキ</t>
    </rPh>
    <rPh sb="73" eb="75">
      <t>シヨウ</t>
    </rPh>
    <phoneticPr fontId="4"/>
  </si>
  <si>
    <t>敷地周辺への風通しに配慮する
（①又は②に取り組んでいること）</t>
    <phoneticPr fontId="4"/>
  </si>
  <si>
    <t>①卓越風向に対する建築物の見付面積率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</si>
  <si>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②背面空地や坪庭（中庭）の連担性により，周辺の通風に配慮している。</t>
    <phoneticPr fontId="4"/>
  </si>
  <si>
    <t>風を取り込み，熱気を逃がす</t>
  </si>
  <si>
    <t>屋根材，陸屋根</t>
  </si>
  <si>
    <t>省資源，廃棄物抑制に役立つ材料の採用</t>
  </si>
  <si>
    <t>火災に耐える構造(開口部以外)</t>
    <phoneticPr fontId="4"/>
  </si>
  <si>
    <t>色欄について，プルダウンメニューから選択，または数値・コメントを記入のこと</t>
  </si>
  <si>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</si>
  <si>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該当する開口部の日射侵入率を，夏期に0.60以下とできる。</t>
  </si>
  <si>
    <t>該当する開口部の日射侵入率を，夏期に0.45以下とできる。</t>
  </si>
  <si>
    <t>該当する開口部の日射侵入率を，夏期には0.30以下とでき，かつ冬期には概ね0.6以上とできる。</t>
  </si>
  <si>
    <t>1.2.1　風を取り込み，熱気を逃がす</t>
    <rPh sb="6" eb="7">
      <t>フウ</t>
    </rPh>
    <rPh sb="8" eb="9">
      <t>ト</t>
    </rPh>
    <rPh sb="10" eb="11">
      <t>コ</t>
    </rPh>
    <rPh sb="13" eb="14">
      <t>ネツ</t>
    </rPh>
    <rPh sb="14" eb="15">
      <t>キ</t>
    </rPh>
    <rPh sb="16" eb="17">
      <t>ニ</t>
    </rPh>
    <phoneticPr fontId="4"/>
  </si>
  <si>
    <t>主要な居室において，二方向に開口部がある，または一方向開口でも通風・排熱を促進する取組みがなされている。</t>
  </si>
  <si>
    <t>すべての居室において，二方向に開口部がある，または一方向開口でも通風・排熱を促進する取組みがなされている。</t>
  </si>
  <si>
    <t>主要な居室において，特に配慮なし。</t>
  </si>
  <si>
    <t>居間を含む一体的空間において，適切な冷房計画が行われている。</t>
  </si>
  <si>
    <t>主要な居室において，適切な冷房計画が行われている。</t>
  </si>
  <si>
    <t>居間を含む一体的空間において，適切な暖房計画を行っている。</t>
  </si>
  <si>
    <t>主要な居室において，適切な暖房計画を行っている。</t>
  </si>
  <si>
    <t>台所，便所，浴室で発生する汚染物質に対して，換気等の適切な処理計画がなされている。</t>
  </si>
  <si>
    <t>レベル３を満たした上で，各居室で必要な換気量ができる計画がなされている。</t>
  </si>
  <si>
    <t>侵入の可能な規模の開口部のうち，住戸の出入口，および地面から開口部の下端までの高さが2m以下の開口部で，侵入防止対策上何らかの措置が採られている。</t>
  </si>
  <si>
    <t>侵入の可能な規模の開口部のうち，住戸の出入口，および地面から開口部の下端までの高さが2m以下の開口部で，侵入防止対策上有効な措置が採られている。</t>
  </si>
  <si>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</si>
  <si>
    <t>レベル４を満たし，かつ評価する取組み２を行っている。</t>
  </si>
  <si>
    <t>①主寝室において，家具の転倒防止策がとられている。</t>
  </si>
  <si>
    <t>②台所において，食器等の落下防止策がとられている。</t>
  </si>
  <si>
    <t>災害発生後に住戸内で一時的に生活を続けられる取組みをしており，その方法をすまい手に伝えている。</t>
  </si>
  <si>
    <t>「居間を含む一体的空間」において，建築基準法で求められる有効採光面積を南面の窓あるいは天窓で確保しているか，昼光利用設備がある。</t>
  </si>
  <si>
    <t>「寝室」において，建築基準法で求められる有効採光面積を南面の窓あるいは天窓で確保しているか，昼光利用設備がある。</t>
  </si>
  <si>
    <t>外壁材を交換する際に，外壁材より耐用性の高い躯体（または下地材）を破損しない構造または取り付け方法が採用されている。</t>
  </si>
  <si>
    <t>外壁材を交換する際に，外壁材と耐用性が同等である外装建具を破損しない構造または取り付け方法が採用されている。</t>
  </si>
  <si>
    <t>外壁材を構成する部品がユニット化されていることにより，構成単位毎の更新が可能である。</t>
  </si>
  <si>
    <t>屋根材，陸屋根</t>
    <rPh sb="0" eb="2">
      <t>ヤネ</t>
    </rPh>
    <rPh sb="2" eb="3">
      <t>ザイ</t>
    </rPh>
    <rPh sb="4" eb="7">
      <t>リクヤネ</t>
    </rPh>
    <phoneticPr fontId="4"/>
  </si>
  <si>
    <t>屋根材を交換する際に，屋根材より耐用性の高い下地（野地板）を破損しない構造または取り付け方法が採用されている。</t>
  </si>
  <si>
    <t>防水材を交換する際に，防水材より耐用性の高い外装建具（サッシ，ドア）を破損しない構造または取り付け方法が採用されている。</t>
  </si>
  <si>
    <t>屋根を構成する部品がユニット化されていることにより，構成単位毎の更新が可能である。</t>
  </si>
  <si>
    <t>防水層を構成する部品がユニット化されていることにより，構成単位毎の更新が可能である。</t>
  </si>
  <si>
    <t>床下集合配管システム（排水ヘッダー方式，集中排水マス方式等）を採用している。</t>
  </si>
  <si>
    <t>電気・ガス併用住宅の場合，「内線規程3605-1」に基づいた負荷以上の想定を行って電気幹線容量を設計している。
電気幹線の設計容量VA　≧　40VA／㎡　×　延べ面積㎡　＋　Ｘ
　注　）Xは延べ面積に応じて決まる値。詳しくはマニュアルを参照のこと。</t>
    <rPh sb="90" eb="91">
      <t>チュウ</t>
    </rPh>
    <rPh sb="95" eb="96">
      <t>ノベ</t>
    </rPh>
    <rPh sb="97" eb="99">
      <t>メンセキ</t>
    </rPh>
    <rPh sb="100" eb="101">
      <t>オウ</t>
    </rPh>
    <rPh sb="103" eb="104">
      <t>キ</t>
    </rPh>
    <rPh sb="106" eb="107">
      <t>アタイ</t>
    </rPh>
    <rPh sb="108" eb="109">
      <t>クワ</t>
    </rPh>
    <rPh sb="118" eb="120">
      <t>サンショウ</t>
    </rPh>
    <phoneticPr fontId="4"/>
  </si>
  <si>
    <t>全電化住宅の場合，以下の想定を行って電気幹線容量を設計している。
電気幹線の設計容量VA　≧　（60VA／㎡　×　延べ面積㎡　＋　Ｘ）　×　0.7　＋　夜間蓄熱式機器容量VA</t>
  </si>
  <si>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</si>
  <si>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住まい手が適切な維持管理を継続するための，情報提供（マニュアルや定期情報誌など）や相談窓口などのサポートの仕組みがある。</t>
  </si>
  <si>
    <t>住宅の基本情報(設計図書，施工記録，仕様部材リスト等)及び建物の維持管理履歴が管理され，何か不具合が生じたときに追跡調査できる。</t>
  </si>
  <si>
    <t>専用の台所その他の家事スペース，便所（原則として水洗便所），洗面所及び浴室が確保されている。</t>
  </si>
  <si>
    <t>日本住宅性能表示基準「3-1劣化対策等級（構造躯体等）」における等級３を満たす。柱や継ぎ手部分が目視できるか，またはそのための点検口を設けている。</t>
    <phoneticPr fontId="4"/>
  </si>
  <si>
    <r>
      <t>1.5.1</t>
    </r>
    <r>
      <rPr>
        <b/>
        <sz val="12"/>
        <rFont val="ＭＳ Ｐゴシック"/>
        <family val="3"/>
        <charset val="128"/>
      </rPr>
      <t>　火災に耐える構造（開口部以外）</t>
    </r>
    <phoneticPr fontId="4"/>
  </si>
  <si>
    <t>評価する取組みの１～５のうち，何れか１つ以上に取組んでいる。</t>
  </si>
  <si>
    <t>評価する取組みの１～５のうち，何れか３つ以上に取組んでいる。</t>
  </si>
  <si>
    <t>評価する取組み１～６のうち，何れの手法も採用していない。</t>
    <phoneticPr fontId="4"/>
  </si>
  <si>
    <t>評価する取組み１～６のうち，何れかの手法を採用している。</t>
    <phoneticPr fontId="4"/>
  </si>
  <si>
    <t>評価する取組み１～６のうち，２つ以上の手法を採用している。</t>
    <phoneticPr fontId="4"/>
  </si>
  <si>
    <t>評価する取組み１～６のうち，３つ以上の手法を採用している。</t>
    <phoneticPr fontId="4"/>
  </si>
  <si>
    <t>評価する取組み１～６のうち，４つ以上の手法を採用している。</t>
    <phoneticPr fontId="4"/>
  </si>
  <si>
    <t>自住戸や近隣住戸への侵入の足掛かりを作らない配慮</t>
    <phoneticPr fontId="4"/>
  </si>
  <si>
    <t>その他（複数の取組みを複数として評価）</t>
    <phoneticPr fontId="4"/>
  </si>
  <si>
    <t>評価する取組みのうち，何れにも取り組んでいない。</t>
    <phoneticPr fontId="4"/>
  </si>
  <si>
    <t>評価する取組みのうち，何れか１つ取り組んでいる。</t>
    <phoneticPr fontId="4"/>
  </si>
  <si>
    <t>評価する取組みのうち，何れか２つに取り組んでいる。</t>
    <phoneticPr fontId="4"/>
  </si>
  <si>
    <t>評価する取組みのうち，何れか３つ以上に取り組んでいる。</t>
    <phoneticPr fontId="4"/>
  </si>
  <si>
    <t>本採点項目のレベルは，一次エネルギー消費率を１～５に換算した値（小数第１位まで）で表される。なお，レベル１，２，３，４，５は以下の消費率で定義される。
レベル1 ：一次エネルギー消費率が130%以上
レベル2 ：一次エネルギー消費率が120%
レベル3 ：一次エネルギー消費率が110%
レベル4 ：一次エネルギー消費率が100%（H25省エネ基準相当）
レベル5 ：一次エネルギー消費率が90%以下（低炭素建築物の認定基準相当）</t>
    <rPh sb="97" eb="99">
      <t>イジョウ</t>
    </rPh>
    <rPh sb="198" eb="200">
      <t>イカ</t>
    </rPh>
    <phoneticPr fontId="4"/>
  </si>
  <si>
    <t>一次エネルギー消費率とは，H25年省エネ基準値に対する，基準値から家電・調理を除く一次エネルギー消費量の比率で計算される比率。</t>
  </si>
  <si>
    <t>※A～Cは必ず入力して下さい。太陽光発電がある場合は，A～Eまで必ず入力して下さい。</t>
    <rPh sb="5" eb="6">
      <t>カナラ</t>
    </rPh>
    <rPh sb="7" eb="9">
      <t>ニュウリョク</t>
    </rPh>
    <rPh sb="11" eb="12">
      <t>クダ</t>
    </rPh>
    <phoneticPr fontId="21"/>
  </si>
  <si>
    <t>太陽光発電とコージェネレーションを併用する場合（W発電）は，A～Eを入力した上で，更に，太陽光無しで計算した場合の設計一次エネルギー消費量（F)と総発電量（G)を入力して下さい。</t>
    <rPh sb="0" eb="3">
      <t>タイヨウコウ</t>
    </rPh>
    <rPh sb="3" eb="5">
      <t>ハツデン</t>
    </rPh>
    <rPh sb="17" eb="19">
      <t>ヘイヨウ</t>
    </rPh>
    <rPh sb="21" eb="23">
      <t>バアイ</t>
    </rPh>
    <rPh sb="25" eb="27">
      <t>ハツデン</t>
    </rPh>
    <rPh sb="34" eb="36">
      <t>ニュウリョク</t>
    </rPh>
    <rPh sb="38" eb="39">
      <t>ウエ</t>
    </rPh>
    <rPh sb="41" eb="42">
      <t>サラ</t>
    </rPh>
    <rPh sb="44" eb="47">
      <t>タイヨウコウ</t>
    </rPh>
    <rPh sb="47" eb="48">
      <t>ナシ</t>
    </rPh>
    <rPh sb="50" eb="52">
      <t>ケイサン</t>
    </rPh>
    <rPh sb="54" eb="56">
      <t>バアイ</t>
    </rPh>
    <rPh sb="57" eb="59">
      <t>セッケイ</t>
    </rPh>
    <rPh sb="59" eb="61">
      <t>イチジ</t>
    </rPh>
    <rPh sb="66" eb="69">
      <t>ショウヒリョウ</t>
    </rPh>
    <rPh sb="73" eb="74">
      <t>ソウ</t>
    </rPh>
    <rPh sb="74" eb="76">
      <t>ハツデン</t>
    </rPh>
    <rPh sb="76" eb="77">
      <t>リョウ</t>
    </rPh>
    <rPh sb="81" eb="83">
      <t>ニュウリョク</t>
    </rPh>
    <rPh sb="85" eb="86">
      <t>クダ</t>
    </rPh>
    <phoneticPr fontId="4"/>
  </si>
  <si>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4"/>
  </si>
  <si>
    <t>下記採点表による採点が，０点</t>
  </si>
  <si>
    <t>下記採点表による採点が，１点</t>
  </si>
  <si>
    <t>下記採点表による採点が，２点以上５点未満</t>
  </si>
  <si>
    <t>下記採点表による採点が，５点</t>
  </si>
  <si>
    <t>評価する取組み１～３のうち，何れにも該当しない。</t>
  </si>
  <si>
    <t>評価する取組み１～３のうち，何れかに該当している。</t>
  </si>
  <si>
    <t>評価する取組み１～３のうち，２つに該当している。</t>
  </si>
  <si>
    <t>評価する取組み１～３のうち，３つに該当している。</t>
  </si>
  <si>
    <t>レベル３に加え，省エネに関する住まい方について一般的な説明がすまい手になされている。</t>
  </si>
  <si>
    <t>レベル３に加え，当該住宅に採用された設備や仕様に関して，個別の建物・生活スタイルごとに対応した適切な説明がすまい手になされている。</t>
  </si>
  <si>
    <t>エネルギー消費に関する表示機器，負荷低減装置等を採用している。</t>
  </si>
  <si>
    <t>エネルギーを管理する仕組みがあり，それにより消費エネルギーの削減が可能である取組みがなされている。</t>
  </si>
  <si>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</si>
  <si>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</si>
  <si>
    <t>構造躯体の一部あるいは過半に，既存建築躯体等のリユース材が使用されている。</t>
    <rPh sb="5" eb="7">
      <t>イチブ</t>
    </rPh>
    <rPh sb="11" eb="13">
      <t>カハン</t>
    </rPh>
    <phoneticPr fontId="4"/>
  </si>
  <si>
    <t>構造躯体に電炉鋼が使用されていない，または確認することができない。</t>
  </si>
  <si>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</si>
  <si>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</si>
  <si>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</si>
  <si>
    <t>構造躯体コンクリートに混合セメント（高炉セメント，フライアッシュセメント）またはエコセメントを用いている。（捨てコン，腰壁への使用は評価しない。）</t>
  </si>
  <si>
    <t>構造躯体コンクリートに再生骨材またはコンクリート用スラグ骨材を用いている。（捨てコン，腰壁への使用は評価しない。）</t>
    <rPh sb="11" eb="13">
      <t>サイセイ</t>
    </rPh>
    <rPh sb="13" eb="15">
      <t>コツザイ</t>
    </rPh>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</si>
  <si>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</si>
  <si>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</si>
  <si>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</si>
  <si>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混合セメント（高炉セメント，フライアッシュセメント）またはエコセメントを用いている。</t>
  </si>
  <si>
    <t>地盤改良材として，地盤改良用製鋼スラグを用いている。</t>
  </si>
  <si>
    <t>・ 窯業廃土，廃ガラス等から製造した舗装用ブロックの通路，駐車場への使用
・ 木粉と熱可塑性樹脂から製造した人工木材を利用した屋外デッキ設置
・ その他，廃棄物や他産業の副産物を利用した外構材の使用</t>
  </si>
  <si>
    <t>・ 「持続可能な森林から産出された木材」を利用した屋外デッキの設置
・ その他，「持続可能な森林から産出された木材」の外構への応用</t>
  </si>
  <si>
    <t>・ 竹製品の使用
・ その他，利用可能になるまでの期間が短く資源枯渇の恐れが少ない植物由来の自然素材の外構への応用</t>
  </si>
  <si>
    <t>構造躯体用部材の生産・加工段階における副産物の発生抑制，リサイクル推進に対する取組みの指示が無く，かつ実際の取組みも行われていない。</t>
  </si>
  <si>
    <t>構造躯体用部材の生産・加工段階における副産物の発生抑制，リサイクル推進に対する取組みについて設計図書等で指示されているか，または実際の取組みが行われている。</t>
  </si>
  <si>
    <t>生産・加工段階で副産物の発生抑制，リサイクル推進に取組んでいる構造躯体用部材以外の建材を１つあるいは２つ採用するよう設計図書等で指示されているか，実際の取組みが行われている。</t>
  </si>
  <si>
    <t>生産・加工段階で副産物の発生抑制，リサイクル推進に取組んでいる構造躯体用部材以外の建材を３つ以上採用するよう設計図書等で指示されているか，実際の取組みが行われている。</t>
  </si>
  <si>
    <t>施工段階における副産物の発生抑制，リサイクル推進に対する取組みの指示が無く，かつ実際の取組みも行われていない。</t>
  </si>
  <si>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</si>
  <si>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</si>
  <si>
    <t>住まい手に対して，住宅に使用されている材料のリサイクルや廃棄に対する何らかの情報提供を行っている。</t>
  </si>
  <si>
    <t>　レベル　1</t>
    <phoneticPr fontId="4"/>
  </si>
  <si>
    <t>■レベル　1</t>
    <phoneticPr fontId="4"/>
  </si>
  <si>
    <t>下記に示す取組み１～５のうち，何れも採用していない。</t>
    <phoneticPr fontId="4"/>
  </si>
  <si>
    <t>一定割合以上（体積比で20％以上）において，下記に示す取組み１～５のうち，何れかを採用している。</t>
    <phoneticPr fontId="4"/>
  </si>
  <si>
    <t>過半において，下記に示す取組み１～５のうち，何れかを採用している。</t>
    <phoneticPr fontId="4"/>
  </si>
  <si>
    <t>大半（体積比で80％以上）において，下記に示す取組み１～５のうち，何れかを採用している。</t>
    <phoneticPr fontId="4"/>
  </si>
  <si>
    <t>本採点項目のレベルはライフサイクルCO2の排出率を１～５に換算した値（小数第１位まで）で表される。
なお，レベル１，３，５は以下の排出率で定義される。
レベル１ ： ライフサイクルCO2排出率が，一般的な住宅（参照値）に対して１２５％以上
レベル３ ： ライフサイクルCO2排出率が，一般的な住宅（参照値）と同等
レベル５ ： ライフサイクルCO2排出率が，一般的な住宅（参照値）に対して５０％以下</t>
  </si>
  <si>
    <t>評価する取組み１～６のうち，何れも採用していない。</t>
  </si>
  <si>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</si>
  <si>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</si>
  <si>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</si>
  <si>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</si>
  <si>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</si>
  <si>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生ごみの排出量を削減するため，生ごみ処理設備を設置している</t>
  </si>
  <si>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</si>
  <si>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</si>
  <si>
    <t>既存の自然環境をほとんど改変せず，積極的に保全に努めている（ポイント５以上）</t>
  </si>
  <si>
    <t>＜地形の保全＞
従前の地形を改変せず，保全している。</t>
  </si>
  <si>
    <t>＜表土の保全＞
従前の表土を概ね保全している。（従前の表土が植栽に適さないため，良質な土壌を客土した場合も含む）</t>
  </si>
  <si>
    <t>騒音・振動・排気・排熱の発生源が，隣接する住宅等に著しい影響を与えないよう一般的な配慮を行っている。</t>
    <rPh sb="9" eb="11">
      <t>ハイネツ</t>
    </rPh>
    <rPh sb="44" eb="45">
      <t>オコナ</t>
    </rPh>
    <phoneticPr fontId="4"/>
  </si>
  <si>
    <t>レベル３に加え，騒音・振動，排気・排熱の発生源に対する，いずれか一部について取組みがなされている。</t>
  </si>
  <si>
    <t>レベル３に加え，騒音・振動，排気・排熱の発生源の全てについて取組みがなされている。</t>
  </si>
  <si>
    <t>騒音・振動・排気・排熱の発生源が，隣接する住宅等に著しい影響を与えないよう一般的な配慮がなされている。</t>
    <rPh sb="9" eb="11">
      <t>ハイネツ</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</si>
  <si>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</si>
  <si>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</si>
  <si>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</si>
  <si>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</si>
  <si>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建築外装材料等に配慮する。
（①又は②に取組んでいること）</t>
    <phoneticPr fontId="4"/>
  </si>
  <si>
    <t>◆CO2計算に利用可能な電気の排出係数
(1) 算定省令に基づく電気事業者ごとの実排出係数，
     および電気事業者等より公表される調整後排出係数</t>
  </si>
  <si>
    <t>その他/事業社名，根拠等</t>
  </si>
  <si>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</si>
  <si>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</si>
  <si>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上表，運用段階の④(b)における，調整後排出係数を用いた場合の実排出量との差の計算例は以下のとおり。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2">
      <t>ジツ</t>
    </rPh>
    <rPh sb="32" eb="34">
      <t>ハイシュツ</t>
    </rPh>
    <rPh sb="34" eb="35">
      <t>リョウ</t>
    </rPh>
    <rPh sb="37" eb="38">
      <t>サ</t>
    </rPh>
    <rPh sb="39" eb="41">
      <t>ケイサン</t>
    </rPh>
    <rPh sb="41" eb="42">
      <t>レイ</t>
    </rPh>
    <rPh sb="43" eb="45">
      <t>イカ</t>
    </rPh>
    <phoneticPr fontId="4"/>
  </si>
  <si>
    <t>このグラフは，LR3中の「地球温暖化への配慮」の内容を，一般的な住宅（参照値）と比べたライフサイクルCO2 排出量の目安で示したものです</t>
  </si>
  <si>
    <t>このグラフは，一般的な住宅（参照値）と比べたライフサイクルCO2 排出量を評価者自身の計算（独自計算）により算出した結果を示しています。LCCO2の算定条件等については，「CO2独自計算シート」を参照</t>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</si>
  <si>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評　価　ソ　フ　ト（標準システム）</t>
    <rPh sb="0" eb="1">
      <t>ヒョウ</t>
    </rPh>
    <rPh sb="2" eb="3">
      <t>アタイ</t>
    </rPh>
    <rPh sb="10" eb="12">
      <t>ヒョウジュン</t>
    </rPh>
    <phoneticPr fontId="4"/>
  </si>
  <si>
    <r>
      <t>CASBEE</t>
    </r>
    <r>
      <rPr>
        <b/>
        <sz val="10"/>
        <rFont val="ＭＳ Ｐゴシック"/>
        <family val="3"/>
        <charset val="128"/>
      </rPr>
      <t>京都</t>
    </r>
    <r>
      <rPr>
        <b/>
        <sz val="10"/>
        <rFont val="Arial"/>
        <family val="2"/>
      </rPr>
      <t xml:space="preserve"> </t>
    </r>
    <r>
      <rPr>
        <b/>
        <sz val="10"/>
        <rFont val="ＭＳ Ｐゴシック"/>
        <family val="3"/>
        <charset val="128"/>
      </rPr>
      <t>戸建</t>
    </r>
    <r>
      <rPr>
        <b/>
        <sz val="10"/>
        <rFont val="Arial"/>
        <family val="2"/>
      </rPr>
      <t>-</t>
    </r>
    <r>
      <rPr>
        <b/>
        <sz val="10"/>
        <rFont val="ＭＳ Ｐゴシック"/>
        <family val="3"/>
        <charset val="128"/>
      </rPr>
      <t>新築</t>
    </r>
    <r>
      <rPr>
        <b/>
        <sz val="10"/>
        <rFont val="Arial"/>
        <family val="2"/>
      </rPr>
      <t>(2015</t>
    </r>
    <r>
      <rPr>
        <b/>
        <sz val="10"/>
        <rFont val="ＭＳ Ｐゴシック"/>
        <family val="3"/>
        <charset val="128"/>
      </rPr>
      <t>年版</t>
    </r>
    <r>
      <rPr>
        <b/>
        <sz val="10"/>
        <rFont val="Arial"/>
        <family val="2"/>
      </rPr>
      <t>)</t>
    </r>
    <rPh sb="6" eb="8">
      <t>キョウト</t>
    </rPh>
    <rPh sb="9" eb="11">
      <t>コダテ</t>
    </rPh>
    <rPh sb="12" eb="14">
      <t>シンチク</t>
    </rPh>
    <rPh sb="19" eb="21">
      <t>ネンバン</t>
    </rPh>
    <phoneticPr fontId="4"/>
  </si>
  <si>
    <t>高評価根拠資料一覧</t>
    <rPh sb="0" eb="3">
      <t>コウヒョウカ</t>
    </rPh>
    <rPh sb="3" eb="5">
      <t>コンキョ</t>
    </rPh>
    <rPh sb="5" eb="7">
      <t>シリョウ</t>
    </rPh>
    <rPh sb="7" eb="9">
      <t>イチラン</t>
    </rPh>
    <phoneticPr fontId="4"/>
  </si>
  <si>
    <t>評価項目</t>
    <rPh sb="0" eb="2">
      <t>ヒョウカ</t>
    </rPh>
    <rPh sb="2" eb="4">
      <t>コウモク</t>
    </rPh>
    <phoneticPr fontId="4"/>
  </si>
  <si>
    <t>評価点</t>
    <rPh sb="0" eb="2">
      <t>ヒョウカ</t>
    </rPh>
    <rPh sb="2" eb="3">
      <t>テン</t>
    </rPh>
    <phoneticPr fontId="4"/>
  </si>
  <si>
    <t>根拠資料</t>
    <rPh sb="0" eb="2">
      <t>コンキョ</t>
    </rPh>
    <rPh sb="2" eb="4">
      <t>シリョウ</t>
    </rPh>
    <phoneticPr fontId="4"/>
  </si>
  <si>
    <t>図面番号</t>
    <rPh sb="0" eb="2">
      <t>ズメン</t>
    </rPh>
    <rPh sb="2" eb="4">
      <t>バンゴウ</t>
    </rPh>
    <phoneticPr fontId="4"/>
  </si>
  <si>
    <r>
      <t>Q</t>
    </r>
    <r>
      <rPr>
        <b/>
        <vertAlign val="subscript"/>
        <sz val="11"/>
        <rFont val="ＭＳ Ｐゴシック"/>
        <family val="3"/>
        <charset val="128"/>
      </rPr>
      <t>H</t>
    </r>
    <r>
      <rPr>
        <b/>
        <sz val="11"/>
        <rFont val="ＭＳ Ｐゴシック"/>
        <family val="3"/>
        <charset val="128"/>
      </rPr>
      <t>1</t>
    </r>
    <phoneticPr fontId="4"/>
  </si>
  <si>
    <r>
      <t>Q</t>
    </r>
    <r>
      <rPr>
        <vertAlign val="subscript"/>
        <sz val="10"/>
        <rFont val="ＭＳ Ｐゴシック"/>
        <family val="3"/>
        <charset val="128"/>
      </rPr>
      <t>H</t>
    </r>
    <r>
      <rPr>
        <sz val="10"/>
        <rFont val="ＭＳ Ｐゴシック"/>
        <family val="3"/>
        <charset val="128"/>
      </rPr>
      <t>1/1.1.1</t>
    </r>
    <phoneticPr fontId="4"/>
  </si>
  <si>
    <r>
      <t>Q</t>
    </r>
    <r>
      <rPr>
        <vertAlign val="subscript"/>
        <sz val="10"/>
        <rFont val="ＭＳ Ｐゴシック"/>
        <family val="3"/>
        <charset val="128"/>
      </rPr>
      <t>H</t>
    </r>
    <r>
      <rPr>
        <sz val="10"/>
        <rFont val="ＭＳ Ｐゴシック"/>
        <family val="3"/>
        <charset val="128"/>
      </rPr>
      <t>1/1.1.2</t>
    </r>
    <phoneticPr fontId="4"/>
  </si>
  <si>
    <r>
      <t>Q</t>
    </r>
    <r>
      <rPr>
        <vertAlign val="subscript"/>
        <sz val="10"/>
        <rFont val="ＭＳ Ｐゴシック"/>
        <family val="3"/>
        <charset val="128"/>
      </rPr>
      <t>H</t>
    </r>
    <r>
      <rPr>
        <sz val="10"/>
        <rFont val="ＭＳ Ｐゴシック"/>
        <family val="3"/>
        <charset val="128"/>
      </rPr>
      <t>1/1.2.1</t>
    </r>
    <phoneticPr fontId="4"/>
  </si>
  <si>
    <r>
      <t>Q</t>
    </r>
    <r>
      <rPr>
        <vertAlign val="subscript"/>
        <sz val="10"/>
        <rFont val="ＭＳ Ｐゴシック"/>
        <family val="3"/>
        <charset val="128"/>
      </rPr>
      <t>H</t>
    </r>
    <r>
      <rPr>
        <sz val="10"/>
        <rFont val="ＭＳ Ｐゴシック"/>
        <family val="3"/>
        <charset val="128"/>
      </rPr>
      <t>1/1.2.2</t>
    </r>
    <phoneticPr fontId="4"/>
  </si>
  <si>
    <r>
      <t>Q</t>
    </r>
    <r>
      <rPr>
        <vertAlign val="subscript"/>
        <sz val="10"/>
        <rFont val="ＭＳ Ｐゴシック"/>
        <family val="3"/>
        <charset val="128"/>
      </rPr>
      <t>H</t>
    </r>
    <r>
      <rPr>
        <sz val="10"/>
        <rFont val="ＭＳ Ｐゴシック"/>
        <family val="3"/>
        <charset val="128"/>
      </rPr>
      <t>1/1.3.1</t>
    </r>
    <phoneticPr fontId="4"/>
  </si>
  <si>
    <r>
      <t>Q</t>
    </r>
    <r>
      <rPr>
        <vertAlign val="subscript"/>
        <sz val="10"/>
        <rFont val="ＭＳ Ｐゴシック"/>
        <family val="3"/>
        <charset val="128"/>
      </rPr>
      <t>H</t>
    </r>
    <r>
      <rPr>
        <sz val="10"/>
        <rFont val="ＭＳ Ｐゴシック"/>
        <family val="3"/>
        <charset val="128"/>
      </rPr>
      <t>1/2.1</t>
    </r>
    <phoneticPr fontId="4"/>
  </si>
  <si>
    <r>
      <t>Q</t>
    </r>
    <r>
      <rPr>
        <vertAlign val="subscript"/>
        <sz val="10"/>
        <rFont val="ＭＳ Ｐゴシック"/>
        <family val="3"/>
        <charset val="128"/>
      </rPr>
      <t>H</t>
    </r>
    <r>
      <rPr>
        <sz val="10"/>
        <rFont val="ＭＳ Ｐゴシック"/>
        <family val="3"/>
        <charset val="128"/>
      </rPr>
      <t>1/2.2</t>
    </r>
    <phoneticPr fontId="4"/>
  </si>
  <si>
    <r>
      <t>Q</t>
    </r>
    <r>
      <rPr>
        <vertAlign val="subscript"/>
        <sz val="10"/>
        <rFont val="ＭＳ Ｐゴシック"/>
        <family val="3"/>
        <charset val="128"/>
      </rPr>
      <t>H</t>
    </r>
    <r>
      <rPr>
        <sz val="10"/>
        <rFont val="ＭＳ Ｐゴシック"/>
        <family val="3"/>
        <charset val="128"/>
      </rPr>
      <t>1/2.3</t>
    </r>
    <phoneticPr fontId="4"/>
  </si>
  <si>
    <r>
      <t>Q</t>
    </r>
    <r>
      <rPr>
        <vertAlign val="subscript"/>
        <sz val="10"/>
        <rFont val="ＭＳ Ｐゴシック"/>
        <family val="3"/>
        <charset val="128"/>
      </rPr>
      <t>H</t>
    </r>
    <r>
      <rPr>
        <sz val="10"/>
        <rFont val="ＭＳ Ｐゴシック"/>
        <family val="3"/>
        <charset val="128"/>
      </rPr>
      <t>1/2.4</t>
    </r>
    <phoneticPr fontId="4"/>
  </si>
  <si>
    <r>
      <t>Q</t>
    </r>
    <r>
      <rPr>
        <vertAlign val="subscript"/>
        <sz val="10"/>
        <rFont val="ＭＳ Ｐゴシック"/>
        <family val="3"/>
        <charset val="128"/>
      </rPr>
      <t>H</t>
    </r>
    <r>
      <rPr>
        <sz val="10"/>
        <rFont val="ＭＳ Ｐゴシック"/>
        <family val="3"/>
        <charset val="128"/>
      </rPr>
      <t>1/3.1</t>
    </r>
    <phoneticPr fontId="4"/>
  </si>
  <si>
    <r>
      <t>Q</t>
    </r>
    <r>
      <rPr>
        <vertAlign val="subscript"/>
        <sz val="10"/>
        <rFont val="ＭＳ Ｐゴシック"/>
        <family val="3"/>
        <charset val="128"/>
      </rPr>
      <t>H</t>
    </r>
    <r>
      <rPr>
        <sz val="10"/>
        <rFont val="ＭＳ Ｐゴシック"/>
        <family val="3"/>
        <charset val="128"/>
      </rPr>
      <t>1/4</t>
    </r>
    <phoneticPr fontId="4"/>
  </si>
  <si>
    <r>
      <t>Q</t>
    </r>
    <r>
      <rPr>
        <vertAlign val="subscript"/>
        <sz val="10"/>
        <rFont val="ＭＳ Ｐゴシック"/>
        <family val="3"/>
        <charset val="128"/>
      </rPr>
      <t>H</t>
    </r>
    <r>
      <rPr>
        <sz val="10"/>
        <rFont val="ＭＳ Ｐゴシック"/>
        <family val="3"/>
        <charset val="128"/>
      </rPr>
      <t>2/1.1</t>
    </r>
    <phoneticPr fontId="4"/>
  </si>
  <si>
    <r>
      <t>Q</t>
    </r>
    <r>
      <rPr>
        <vertAlign val="subscript"/>
        <sz val="10"/>
        <rFont val="ＭＳ Ｐゴシック"/>
        <family val="3"/>
        <charset val="128"/>
      </rPr>
      <t>H</t>
    </r>
    <r>
      <rPr>
        <sz val="10"/>
        <rFont val="ＭＳ Ｐゴシック"/>
        <family val="3"/>
        <charset val="128"/>
      </rPr>
      <t>2/1.2</t>
    </r>
    <phoneticPr fontId="4"/>
  </si>
  <si>
    <r>
      <t>Q</t>
    </r>
    <r>
      <rPr>
        <vertAlign val="subscript"/>
        <sz val="10"/>
        <rFont val="ＭＳ Ｐゴシック"/>
        <family val="3"/>
        <charset val="128"/>
      </rPr>
      <t>H</t>
    </r>
    <r>
      <rPr>
        <sz val="10"/>
        <rFont val="ＭＳ Ｐゴシック"/>
        <family val="3"/>
        <charset val="128"/>
      </rPr>
      <t>2/1.3</t>
    </r>
    <phoneticPr fontId="4"/>
  </si>
  <si>
    <r>
      <t>Q</t>
    </r>
    <r>
      <rPr>
        <vertAlign val="subscript"/>
        <sz val="10"/>
        <rFont val="ＭＳ Ｐゴシック"/>
        <family val="3"/>
        <charset val="128"/>
      </rPr>
      <t>H</t>
    </r>
    <r>
      <rPr>
        <sz val="10"/>
        <rFont val="ＭＳ Ｐゴシック"/>
        <family val="3"/>
        <charset val="128"/>
      </rPr>
      <t>2/1.4</t>
    </r>
    <phoneticPr fontId="4"/>
  </si>
  <si>
    <r>
      <t>Q</t>
    </r>
    <r>
      <rPr>
        <vertAlign val="subscript"/>
        <sz val="10"/>
        <rFont val="ＭＳ Ｐゴシック"/>
        <family val="3"/>
        <charset val="128"/>
      </rPr>
      <t>H</t>
    </r>
    <r>
      <rPr>
        <sz val="10"/>
        <rFont val="ＭＳ Ｐゴシック"/>
        <family val="3"/>
        <charset val="128"/>
      </rPr>
      <t>2/1.5.1</t>
    </r>
    <phoneticPr fontId="4"/>
  </si>
  <si>
    <r>
      <t>Q</t>
    </r>
    <r>
      <rPr>
        <vertAlign val="subscript"/>
        <sz val="10"/>
        <rFont val="ＭＳ Ｐゴシック"/>
        <family val="3"/>
        <charset val="128"/>
      </rPr>
      <t>H</t>
    </r>
    <r>
      <rPr>
        <sz val="10"/>
        <rFont val="ＭＳ Ｐゴシック"/>
        <family val="3"/>
        <charset val="128"/>
      </rPr>
      <t>2/1.5.2</t>
    </r>
    <phoneticPr fontId="4"/>
  </si>
  <si>
    <r>
      <t>Q</t>
    </r>
    <r>
      <rPr>
        <vertAlign val="subscript"/>
        <sz val="10"/>
        <rFont val="ＭＳ Ｐゴシック"/>
        <family val="3"/>
        <charset val="128"/>
      </rPr>
      <t>H</t>
    </r>
    <r>
      <rPr>
        <sz val="10"/>
        <rFont val="ＭＳ Ｐゴシック"/>
        <family val="3"/>
        <charset val="128"/>
      </rPr>
      <t>2/2.1</t>
    </r>
    <phoneticPr fontId="4"/>
  </si>
  <si>
    <r>
      <t>Q</t>
    </r>
    <r>
      <rPr>
        <vertAlign val="subscript"/>
        <sz val="10"/>
        <rFont val="ＭＳ Ｐゴシック"/>
        <family val="3"/>
        <charset val="128"/>
      </rPr>
      <t>H</t>
    </r>
    <r>
      <rPr>
        <sz val="10"/>
        <rFont val="ＭＳ Ｐゴシック"/>
        <family val="3"/>
        <charset val="128"/>
      </rPr>
      <t>2/2.2</t>
    </r>
    <phoneticPr fontId="4"/>
  </si>
  <si>
    <r>
      <t>Q</t>
    </r>
    <r>
      <rPr>
        <vertAlign val="subscript"/>
        <sz val="10"/>
        <rFont val="ＭＳ Ｐゴシック"/>
        <family val="3"/>
        <charset val="128"/>
      </rPr>
      <t>H</t>
    </r>
    <r>
      <rPr>
        <sz val="10"/>
        <rFont val="ＭＳ Ｐゴシック"/>
        <family val="3"/>
        <charset val="128"/>
      </rPr>
      <t>2/3.1</t>
    </r>
    <phoneticPr fontId="4"/>
  </si>
  <si>
    <r>
      <t>Q</t>
    </r>
    <r>
      <rPr>
        <vertAlign val="subscript"/>
        <sz val="10"/>
        <rFont val="ＭＳ Ｐゴシック"/>
        <family val="3"/>
        <charset val="128"/>
      </rPr>
      <t>H</t>
    </r>
    <r>
      <rPr>
        <sz val="10"/>
        <rFont val="ＭＳ Ｐゴシック"/>
        <family val="3"/>
        <charset val="128"/>
      </rPr>
      <t>2/3.2</t>
    </r>
    <phoneticPr fontId="4"/>
  </si>
  <si>
    <r>
      <t>Q</t>
    </r>
    <r>
      <rPr>
        <vertAlign val="subscript"/>
        <sz val="10"/>
        <rFont val="ＭＳ Ｐゴシック"/>
        <family val="3"/>
        <charset val="128"/>
      </rPr>
      <t>H</t>
    </r>
    <r>
      <rPr>
        <sz val="10"/>
        <rFont val="ＭＳ Ｐゴシック"/>
        <family val="3"/>
        <charset val="128"/>
      </rPr>
      <t>3/1</t>
    </r>
    <phoneticPr fontId="4"/>
  </si>
  <si>
    <r>
      <t>Q</t>
    </r>
    <r>
      <rPr>
        <vertAlign val="subscript"/>
        <sz val="10"/>
        <rFont val="ＭＳ Ｐゴシック"/>
        <family val="3"/>
        <charset val="128"/>
      </rPr>
      <t>H</t>
    </r>
    <r>
      <rPr>
        <sz val="10"/>
        <rFont val="ＭＳ Ｐゴシック"/>
        <family val="3"/>
        <charset val="128"/>
      </rPr>
      <t>3/3</t>
    </r>
    <phoneticPr fontId="4"/>
  </si>
  <si>
    <r>
      <t>Q</t>
    </r>
    <r>
      <rPr>
        <vertAlign val="subscript"/>
        <sz val="10"/>
        <rFont val="ＭＳ Ｐゴシック"/>
        <family val="3"/>
        <charset val="128"/>
      </rPr>
      <t>H</t>
    </r>
    <r>
      <rPr>
        <sz val="10"/>
        <rFont val="ＭＳ Ｐゴシック"/>
        <family val="3"/>
        <charset val="128"/>
      </rPr>
      <t>3/4</t>
    </r>
    <phoneticPr fontId="4"/>
  </si>
  <si>
    <r>
      <t>Q</t>
    </r>
    <r>
      <rPr>
        <vertAlign val="subscript"/>
        <sz val="10"/>
        <rFont val="ＭＳ Ｐゴシック"/>
        <family val="3"/>
        <charset val="128"/>
      </rPr>
      <t>H</t>
    </r>
    <r>
      <rPr>
        <sz val="10"/>
        <rFont val="ＭＳ Ｐゴシック"/>
        <family val="3"/>
        <charset val="128"/>
      </rPr>
      <t>3/2.1</t>
    </r>
    <phoneticPr fontId="4"/>
  </si>
  <si>
    <r>
      <t>Q</t>
    </r>
    <r>
      <rPr>
        <vertAlign val="subscript"/>
        <sz val="10"/>
        <rFont val="ＭＳ Ｐゴシック"/>
        <family val="3"/>
        <charset val="128"/>
      </rPr>
      <t>H</t>
    </r>
    <r>
      <rPr>
        <sz val="10"/>
        <rFont val="ＭＳ Ｐゴシック"/>
        <family val="3"/>
        <charset val="128"/>
      </rPr>
      <t>3/2.2</t>
    </r>
    <phoneticPr fontId="4"/>
  </si>
  <si>
    <r>
      <t>LR</t>
    </r>
    <r>
      <rPr>
        <vertAlign val="subscript"/>
        <sz val="10"/>
        <rFont val="ＭＳ Ｐゴシック"/>
        <family val="3"/>
        <charset val="128"/>
      </rPr>
      <t>H</t>
    </r>
    <r>
      <rPr>
        <sz val="10"/>
        <rFont val="ＭＳ Ｐゴシック"/>
        <family val="3"/>
        <charset val="128"/>
      </rPr>
      <t>1/1.1</t>
    </r>
    <phoneticPr fontId="4"/>
  </si>
  <si>
    <r>
      <t>LR</t>
    </r>
    <r>
      <rPr>
        <vertAlign val="subscript"/>
        <sz val="10"/>
        <rFont val="ＭＳ Ｐゴシック"/>
        <family val="3"/>
        <charset val="128"/>
      </rPr>
      <t>H</t>
    </r>
    <r>
      <rPr>
        <sz val="10"/>
        <rFont val="ＭＳ Ｐゴシック"/>
        <family val="3"/>
        <charset val="128"/>
      </rPr>
      <t>1/1.2</t>
    </r>
    <phoneticPr fontId="4"/>
  </si>
  <si>
    <r>
      <t>LR</t>
    </r>
    <r>
      <rPr>
        <vertAlign val="subscript"/>
        <sz val="10"/>
        <rFont val="ＭＳ Ｐゴシック"/>
        <family val="3"/>
        <charset val="128"/>
      </rPr>
      <t>H</t>
    </r>
    <r>
      <rPr>
        <sz val="10"/>
        <rFont val="ＭＳ Ｐゴシック"/>
        <family val="3"/>
        <charset val="128"/>
      </rPr>
      <t>1/2.1</t>
    </r>
    <phoneticPr fontId="4"/>
  </si>
  <si>
    <r>
      <t>LR</t>
    </r>
    <r>
      <rPr>
        <vertAlign val="subscript"/>
        <sz val="10"/>
        <rFont val="ＭＳ Ｐゴシック"/>
        <family val="3"/>
        <charset val="128"/>
      </rPr>
      <t>H</t>
    </r>
    <r>
      <rPr>
        <sz val="10"/>
        <rFont val="ＭＳ Ｐゴシック"/>
        <family val="3"/>
        <charset val="128"/>
      </rPr>
      <t>1/2.2</t>
    </r>
    <phoneticPr fontId="4"/>
  </si>
  <si>
    <r>
      <t>LR</t>
    </r>
    <r>
      <rPr>
        <vertAlign val="subscript"/>
        <sz val="10"/>
        <rFont val="ＭＳ Ｐゴシック"/>
        <family val="3"/>
        <charset val="128"/>
      </rPr>
      <t>H</t>
    </r>
    <r>
      <rPr>
        <sz val="10"/>
        <rFont val="ＭＳ Ｐゴシック"/>
        <family val="3"/>
        <charset val="128"/>
      </rPr>
      <t>1/3.1</t>
    </r>
    <phoneticPr fontId="4"/>
  </si>
  <si>
    <r>
      <t>LR</t>
    </r>
    <r>
      <rPr>
        <vertAlign val="subscript"/>
        <sz val="10"/>
        <rFont val="ＭＳ Ｐゴシック"/>
        <family val="3"/>
        <charset val="128"/>
      </rPr>
      <t>H</t>
    </r>
    <r>
      <rPr>
        <sz val="10"/>
        <rFont val="ＭＳ Ｐゴシック"/>
        <family val="3"/>
        <charset val="128"/>
      </rPr>
      <t>1/3.2</t>
    </r>
    <phoneticPr fontId="4"/>
  </si>
  <si>
    <r>
      <t>LR</t>
    </r>
    <r>
      <rPr>
        <vertAlign val="subscript"/>
        <sz val="10"/>
        <rFont val="ＭＳ Ｐゴシック"/>
        <family val="3"/>
        <charset val="128"/>
      </rPr>
      <t>H</t>
    </r>
    <r>
      <rPr>
        <sz val="10"/>
        <rFont val="ＭＳ Ｐゴシック"/>
        <family val="3"/>
        <charset val="128"/>
      </rPr>
      <t>2/1.2</t>
    </r>
    <phoneticPr fontId="4"/>
  </si>
  <si>
    <r>
      <t>LR</t>
    </r>
    <r>
      <rPr>
        <vertAlign val="subscript"/>
        <sz val="10"/>
        <rFont val="ＭＳ Ｐゴシック"/>
        <family val="3"/>
        <charset val="128"/>
      </rPr>
      <t>H</t>
    </r>
    <r>
      <rPr>
        <sz val="10"/>
        <rFont val="ＭＳ Ｐゴシック"/>
        <family val="3"/>
        <charset val="128"/>
      </rPr>
      <t>2/1.3</t>
    </r>
    <phoneticPr fontId="4"/>
  </si>
  <si>
    <r>
      <t>LR</t>
    </r>
    <r>
      <rPr>
        <vertAlign val="subscript"/>
        <sz val="10"/>
        <rFont val="ＭＳ Ｐゴシック"/>
        <family val="3"/>
        <charset val="128"/>
      </rPr>
      <t>H</t>
    </r>
    <r>
      <rPr>
        <sz val="10"/>
        <rFont val="ＭＳ Ｐゴシック"/>
        <family val="3"/>
        <charset val="128"/>
      </rPr>
      <t>2/1.4</t>
    </r>
    <phoneticPr fontId="4"/>
  </si>
  <si>
    <r>
      <t>LR</t>
    </r>
    <r>
      <rPr>
        <vertAlign val="subscript"/>
        <sz val="10"/>
        <rFont val="ＭＳ Ｐゴシック"/>
        <family val="3"/>
        <charset val="128"/>
      </rPr>
      <t>H</t>
    </r>
    <r>
      <rPr>
        <sz val="10"/>
        <rFont val="ＭＳ Ｐゴシック"/>
        <family val="3"/>
        <charset val="128"/>
      </rPr>
      <t>2/1.5</t>
    </r>
    <phoneticPr fontId="4"/>
  </si>
  <si>
    <r>
      <t>LR</t>
    </r>
    <r>
      <rPr>
        <vertAlign val="subscript"/>
        <sz val="10"/>
        <rFont val="ＭＳ Ｐゴシック"/>
        <family val="3"/>
        <charset val="128"/>
      </rPr>
      <t>H</t>
    </r>
    <r>
      <rPr>
        <sz val="10"/>
        <rFont val="ＭＳ Ｐゴシック"/>
        <family val="3"/>
        <charset val="128"/>
      </rPr>
      <t>2/2.1</t>
    </r>
    <phoneticPr fontId="4"/>
  </si>
  <si>
    <r>
      <t>LR</t>
    </r>
    <r>
      <rPr>
        <vertAlign val="subscript"/>
        <sz val="10"/>
        <rFont val="ＭＳ Ｐゴシック"/>
        <family val="3"/>
        <charset val="128"/>
      </rPr>
      <t>H</t>
    </r>
    <r>
      <rPr>
        <sz val="10"/>
        <rFont val="ＭＳ Ｐゴシック"/>
        <family val="3"/>
        <charset val="128"/>
      </rPr>
      <t>2/2.1.2</t>
    </r>
    <phoneticPr fontId="4"/>
  </si>
  <si>
    <r>
      <t>LR</t>
    </r>
    <r>
      <rPr>
        <vertAlign val="subscript"/>
        <sz val="10"/>
        <rFont val="ＭＳ Ｐゴシック"/>
        <family val="3"/>
        <charset val="128"/>
      </rPr>
      <t>H</t>
    </r>
    <r>
      <rPr>
        <sz val="10"/>
        <rFont val="ＭＳ Ｐゴシック"/>
        <family val="3"/>
        <charset val="128"/>
      </rPr>
      <t>2/2.1.3</t>
    </r>
    <phoneticPr fontId="4"/>
  </si>
  <si>
    <r>
      <t>LR</t>
    </r>
    <r>
      <rPr>
        <vertAlign val="subscript"/>
        <sz val="10"/>
        <rFont val="ＭＳ Ｐゴシック"/>
        <family val="3"/>
        <charset val="128"/>
      </rPr>
      <t>H</t>
    </r>
    <r>
      <rPr>
        <sz val="10"/>
        <rFont val="ＭＳ Ｐゴシック"/>
        <family val="3"/>
        <charset val="128"/>
      </rPr>
      <t>2/3.1</t>
    </r>
    <phoneticPr fontId="4"/>
  </si>
  <si>
    <r>
      <t>LR</t>
    </r>
    <r>
      <rPr>
        <vertAlign val="subscript"/>
        <sz val="10"/>
        <rFont val="ＭＳ Ｐゴシック"/>
        <family val="3"/>
        <charset val="128"/>
      </rPr>
      <t>H</t>
    </r>
    <r>
      <rPr>
        <sz val="10"/>
        <rFont val="ＭＳ Ｐゴシック"/>
        <family val="3"/>
        <charset val="128"/>
      </rPr>
      <t>2/1.1.1</t>
    </r>
    <phoneticPr fontId="4"/>
  </si>
  <si>
    <r>
      <t>LR</t>
    </r>
    <r>
      <rPr>
        <vertAlign val="subscript"/>
        <sz val="10"/>
        <rFont val="ＭＳ Ｐゴシック"/>
        <family val="3"/>
        <charset val="128"/>
      </rPr>
      <t>H</t>
    </r>
    <r>
      <rPr>
        <sz val="10"/>
        <rFont val="ＭＳ Ｐゴシック"/>
        <family val="3"/>
        <charset val="128"/>
      </rPr>
      <t>2/1.1.2</t>
    </r>
    <phoneticPr fontId="4"/>
  </si>
  <si>
    <r>
      <t>LR</t>
    </r>
    <r>
      <rPr>
        <vertAlign val="subscript"/>
        <sz val="10"/>
        <rFont val="ＭＳ Ｐゴシック"/>
        <family val="3"/>
        <charset val="128"/>
      </rPr>
      <t>H</t>
    </r>
    <r>
      <rPr>
        <sz val="10"/>
        <rFont val="ＭＳ Ｐゴシック"/>
        <family val="3"/>
        <charset val="128"/>
      </rPr>
      <t>2/1.1.3</t>
    </r>
    <phoneticPr fontId="4"/>
  </si>
  <si>
    <r>
      <t>LR</t>
    </r>
    <r>
      <rPr>
        <vertAlign val="subscript"/>
        <sz val="10"/>
        <rFont val="ＭＳ Ｐゴシック"/>
        <family val="3"/>
        <charset val="128"/>
      </rPr>
      <t>H</t>
    </r>
    <r>
      <rPr>
        <sz val="10"/>
        <rFont val="ＭＳ Ｐゴシック"/>
        <family val="3"/>
        <charset val="128"/>
      </rPr>
      <t>3/1</t>
    </r>
    <phoneticPr fontId="4"/>
  </si>
  <si>
    <r>
      <t>LR</t>
    </r>
    <r>
      <rPr>
        <vertAlign val="subscript"/>
        <sz val="10"/>
        <rFont val="ＭＳ Ｐゴシック"/>
        <family val="3"/>
        <charset val="128"/>
      </rPr>
      <t>H</t>
    </r>
    <r>
      <rPr>
        <sz val="10"/>
        <rFont val="ＭＳ Ｐゴシック"/>
        <family val="3"/>
        <charset val="128"/>
      </rPr>
      <t>3/2.1</t>
    </r>
    <phoneticPr fontId="4"/>
  </si>
  <si>
    <r>
      <t>LR</t>
    </r>
    <r>
      <rPr>
        <vertAlign val="subscript"/>
        <sz val="10"/>
        <rFont val="ＭＳ Ｐゴシック"/>
        <family val="3"/>
        <charset val="128"/>
      </rPr>
      <t>H</t>
    </r>
    <r>
      <rPr>
        <sz val="10"/>
        <rFont val="ＭＳ Ｐゴシック"/>
        <family val="3"/>
        <charset val="128"/>
      </rPr>
      <t>3/2.2</t>
    </r>
    <phoneticPr fontId="4"/>
  </si>
  <si>
    <r>
      <t>LR</t>
    </r>
    <r>
      <rPr>
        <vertAlign val="subscript"/>
        <sz val="10"/>
        <rFont val="ＭＳ Ｐゴシック"/>
        <family val="3"/>
        <charset val="128"/>
      </rPr>
      <t>H</t>
    </r>
    <r>
      <rPr>
        <sz val="10"/>
        <rFont val="ＭＳ Ｐゴシック"/>
        <family val="3"/>
        <charset val="128"/>
      </rPr>
      <t>3/3.1</t>
    </r>
    <phoneticPr fontId="4"/>
  </si>
  <si>
    <r>
      <t>LR</t>
    </r>
    <r>
      <rPr>
        <vertAlign val="subscript"/>
        <sz val="10"/>
        <rFont val="ＭＳ Ｐゴシック"/>
        <family val="3"/>
        <charset val="128"/>
      </rPr>
      <t>H</t>
    </r>
    <r>
      <rPr>
        <sz val="10"/>
        <rFont val="ＭＳ Ｐゴシック"/>
        <family val="3"/>
        <charset val="128"/>
      </rPr>
      <t>3/3.2</t>
    </r>
    <phoneticPr fontId="4"/>
  </si>
  <si>
    <t>C</t>
    <phoneticPr fontId="4"/>
  </si>
  <si>
    <t>★</t>
    <phoneticPr fontId="4"/>
  </si>
  <si>
    <t>B-</t>
    <phoneticPr fontId="4"/>
  </si>
  <si>
    <t>★★</t>
    <phoneticPr fontId="4"/>
  </si>
  <si>
    <t>★★★</t>
    <phoneticPr fontId="4"/>
  </si>
  <si>
    <t>A</t>
    <phoneticPr fontId="4"/>
  </si>
  <si>
    <t>★★★★</t>
    <phoneticPr fontId="4"/>
  </si>
  <si>
    <t>バージョン</t>
    <phoneticPr fontId="4"/>
  </si>
  <si>
    <t>★★★★★</t>
    <phoneticPr fontId="4"/>
  </si>
  <si>
    <t>1　建物概要</t>
    <rPh sb="2" eb="3">
      <t>ｹﾝ</t>
    </rPh>
    <rPh sb="3" eb="4">
      <t>ﾓﾉ</t>
    </rPh>
    <rPh sb="4" eb="6">
      <t>ｶﾞｲﾖｳ</t>
    </rPh>
    <phoneticPr fontId="18" type="noConversion"/>
  </si>
  <si>
    <t>－</t>
    <phoneticPr fontId="162"/>
  </si>
  <si>
    <t>建物名称</t>
    <rPh sb="0" eb="2">
      <t>タテモノ</t>
    </rPh>
    <rPh sb="2" eb="4">
      <t>メイショウ</t>
    </rPh>
    <phoneticPr fontId="4"/>
  </si>
  <si>
    <t>1 木質系住宅</t>
    <rPh sb="2" eb="4">
      <t>モクシツ</t>
    </rPh>
    <rPh sb="4" eb="5">
      <t>ケイ</t>
    </rPh>
    <rPh sb="5" eb="7">
      <t>ジュウタク</t>
    </rPh>
    <phoneticPr fontId="162"/>
  </si>
  <si>
    <t>延床面積</t>
    <rPh sb="0" eb="1">
      <t>ノベ</t>
    </rPh>
    <rPh sb="1" eb="4">
      <t>ユカメンセキ</t>
    </rPh>
    <phoneticPr fontId="162"/>
  </si>
  <si>
    <t>㎡</t>
  </si>
  <si>
    <t>2 鉄骨系住宅</t>
    <rPh sb="2" eb="4">
      <t>テッコツ</t>
    </rPh>
    <rPh sb="4" eb="5">
      <t>ケイ</t>
    </rPh>
    <rPh sb="5" eb="7">
      <t>ジュウタク</t>
    </rPh>
    <phoneticPr fontId="162"/>
  </si>
  <si>
    <t>使用CASBEE評価マニュアル</t>
    <rPh sb="0" eb="2">
      <t>シヨウ</t>
    </rPh>
    <rPh sb="8" eb="10">
      <t>ヒョウカ</t>
    </rPh>
    <phoneticPr fontId="4"/>
  </si>
  <si>
    <t xml:space="preserve">使用CASBEE評価ソフト </t>
    <phoneticPr fontId="4"/>
  </si>
  <si>
    <t>3 コンクリート系住宅</t>
    <rPh sb="8" eb="9">
      <t>ケイ</t>
    </rPh>
    <rPh sb="9" eb="11">
      <t>ジュウタク</t>
    </rPh>
    <phoneticPr fontId="162"/>
  </si>
  <si>
    <t>2　重点項目への取組度</t>
    <rPh sb="2" eb="4">
      <t>ｼﾞｭｳﾃﾝ</t>
    </rPh>
    <rPh sb="4" eb="6">
      <t>ｺｳﾓｸ</t>
    </rPh>
    <rPh sb="10" eb="11">
      <t>ﾄﾞ</t>
    </rPh>
    <phoneticPr fontId="18" type="noConversion"/>
  </si>
  <si>
    <t>　キーワード</t>
    <phoneticPr fontId="4"/>
  </si>
  <si>
    <t>　取組度</t>
    <rPh sb="3" eb="4">
      <t>ド</t>
    </rPh>
    <phoneticPr fontId="4"/>
  </si>
  <si>
    <t>1　大切に使う</t>
    <phoneticPr fontId="4"/>
  </si>
  <si>
    <t>2　ともに住まう</t>
    <phoneticPr fontId="4"/>
  </si>
  <si>
    <t>3　自然からつくる</t>
    <phoneticPr fontId="4"/>
  </si>
  <si>
    <t>3　設計上の配慮事項とCASBEEのスコア</t>
    <rPh sb="2" eb="4">
      <t>セッケイ</t>
    </rPh>
    <rPh sb="4" eb="5">
      <t>ジョウ</t>
    </rPh>
    <rPh sb="6" eb="8">
      <t>ハイリョ</t>
    </rPh>
    <rPh sb="8" eb="10">
      <t>ジコウ</t>
    </rPh>
    <phoneticPr fontId="4"/>
  </si>
  <si>
    <t>大切に使う</t>
    <rPh sb="0" eb="2">
      <t>タイセツ</t>
    </rPh>
    <rPh sb="3" eb="4">
      <t>ツカ</t>
    </rPh>
    <phoneticPr fontId="4"/>
  </si>
  <si>
    <t>合計点</t>
    <rPh sb="0" eb="2">
      <t>ゴウケイ</t>
    </rPh>
    <rPh sb="2" eb="3">
      <t>テン</t>
    </rPh>
    <phoneticPr fontId="4"/>
  </si>
  <si>
    <t>■長寿命化</t>
    <rPh sb="1" eb="2">
      <t>チョウ</t>
    </rPh>
    <rPh sb="2" eb="4">
      <t>ジュミョウ</t>
    </rPh>
    <rPh sb="4" eb="5">
      <t>カ</t>
    </rPh>
    <phoneticPr fontId="162"/>
  </si>
  <si>
    <t>合計点</t>
    <rPh sb="0" eb="2">
      <t>ゴウケイ</t>
    </rPh>
    <rPh sb="2" eb="3">
      <t>テン</t>
    </rPh>
    <phoneticPr fontId="162"/>
  </si>
  <si>
    <t>◇メンテナンスの容易性</t>
    <rPh sb="8" eb="11">
      <t>ヨウイセイ</t>
    </rPh>
    <phoneticPr fontId="4"/>
  </si>
  <si>
    <t>◇物理的長寿命</t>
    <rPh sb="1" eb="4">
      <t>ブツリテキ</t>
    </rPh>
    <rPh sb="4" eb="5">
      <t>チョウ</t>
    </rPh>
    <rPh sb="5" eb="7">
      <t>ジュミョウ</t>
    </rPh>
    <phoneticPr fontId="4"/>
  </si>
  <si>
    <t>　QH2/　1.2　外壁材</t>
    <rPh sb="10" eb="12">
      <t>ガイヘキ</t>
    </rPh>
    <rPh sb="12" eb="13">
      <t>ザイ</t>
    </rPh>
    <phoneticPr fontId="4"/>
  </si>
  <si>
    <t>スコア</t>
    <phoneticPr fontId="4"/>
  </si>
  <si>
    <t>　QH2/　1.1　躯体</t>
    <rPh sb="10" eb="12">
      <t>クタイ</t>
    </rPh>
    <phoneticPr fontId="4"/>
  </si>
  <si>
    <t>　QH2/　1.3　屋根材、陸屋根</t>
    <rPh sb="10" eb="12">
      <t>ヤネ</t>
    </rPh>
    <rPh sb="12" eb="13">
      <t>ザイ</t>
    </rPh>
    <rPh sb="14" eb="15">
      <t>リク</t>
    </rPh>
    <rPh sb="15" eb="17">
      <t>ヤネ</t>
    </rPh>
    <phoneticPr fontId="4"/>
  </si>
  <si>
    <t>　QH2/　2.1　維持管理のしやすさ</t>
    <rPh sb="10" eb="12">
      <t>イジ</t>
    </rPh>
    <rPh sb="12" eb="14">
      <t>カンリ</t>
    </rPh>
    <phoneticPr fontId="4"/>
  </si>
  <si>
    <t>＜自由記述＞</t>
    <phoneticPr fontId="4"/>
  </si>
  <si>
    <t>◇社会的長寿命</t>
    <rPh sb="1" eb="4">
      <t>シャカイテキ</t>
    </rPh>
    <rPh sb="4" eb="5">
      <t>チョウ</t>
    </rPh>
    <rPh sb="5" eb="7">
      <t>ジュミョウ</t>
    </rPh>
    <phoneticPr fontId="4"/>
  </si>
  <si>
    <t>◇ソフト的取組</t>
    <rPh sb="4" eb="5">
      <t>テキ</t>
    </rPh>
    <rPh sb="5" eb="7">
      <t>トリク</t>
    </rPh>
    <phoneticPr fontId="4"/>
  </si>
  <si>
    <t>　QH2/　3.2　バリアフリー対応</t>
    <rPh sb="16" eb="18">
      <t>タイオウ</t>
    </rPh>
    <phoneticPr fontId="4"/>
  </si>
  <si>
    <t>スコア</t>
  </si>
  <si>
    <t>　QH2/　2.2　維持管理の体制</t>
    <rPh sb="10" eb="12">
      <t>イジ</t>
    </rPh>
    <rPh sb="12" eb="14">
      <t>カンリ</t>
    </rPh>
    <rPh sb="15" eb="17">
      <t>タイセイ</t>
    </rPh>
    <phoneticPr fontId="4"/>
  </si>
  <si>
    <t>　</t>
    <phoneticPr fontId="4"/>
  </si>
  <si>
    <t>＜自由記述＞</t>
    <phoneticPr fontId="4"/>
  </si>
  <si>
    <t>■省資源</t>
    <rPh sb="1" eb="4">
      <t>ショウシゲン</t>
    </rPh>
    <phoneticPr fontId="162"/>
  </si>
  <si>
    <t>　LRH2/　1.1　構造躯体</t>
    <rPh sb="11" eb="13">
      <t>コウゾウ</t>
    </rPh>
    <rPh sb="13" eb="15">
      <t>クタイ</t>
    </rPh>
    <phoneticPr fontId="4"/>
  </si>
  <si>
    <t>　LRH2/　2.1　生産段階（構造用躯体部材）</t>
    <rPh sb="11" eb="13">
      <t>セイサン</t>
    </rPh>
    <rPh sb="13" eb="15">
      <t>ダンカイ</t>
    </rPh>
    <rPh sb="16" eb="19">
      <t>コウゾウヨウ</t>
    </rPh>
    <rPh sb="19" eb="21">
      <t>クタイ</t>
    </rPh>
    <rPh sb="21" eb="23">
      <t>ブザイ</t>
    </rPh>
    <phoneticPr fontId="4"/>
  </si>
  <si>
    <t>スコア</t>
    <phoneticPr fontId="4"/>
  </si>
  <si>
    <t>　LRH2/　1.3　外装材</t>
    <rPh sb="11" eb="14">
      <t>ガイソウザイ</t>
    </rPh>
    <phoneticPr fontId="4"/>
  </si>
  <si>
    <t>　LRH2/　2.2　生産段階（構造用躯体以外の部材）</t>
    <rPh sb="11" eb="13">
      <t>セイサン</t>
    </rPh>
    <rPh sb="13" eb="15">
      <t>ダンカイ</t>
    </rPh>
    <rPh sb="16" eb="19">
      <t>コウゾウヨウ</t>
    </rPh>
    <rPh sb="19" eb="21">
      <t>クタイ</t>
    </rPh>
    <rPh sb="21" eb="23">
      <t>イガイ</t>
    </rPh>
    <rPh sb="24" eb="26">
      <t>ブザイ</t>
    </rPh>
    <phoneticPr fontId="4"/>
  </si>
  <si>
    <t>　LRH2/　1.4　内装材</t>
    <rPh sb="11" eb="13">
      <t>ナイソウ</t>
    </rPh>
    <rPh sb="13" eb="14">
      <t>ザイ</t>
    </rPh>
    <phoneticPr fontId="4"/>
  </si>
  <si>
    <t>　LRH2/　3.1　使用材料の情報提供</t>
    <rPh sb="11" eb="13">
      <t>シヨウ</t>
    </rPh>
    <rPh sb="13" eb="15">
      <t>ザイリョウ</t>
    </rPh>
    <rPh sb="16" eb="18">
      <t>ジョウホウ</t>
    </rPh>
    <rPh sb="18" eb="20">
      <t>テイキョウ</t>
    </rPh>
    <phoneticPr fontId="4"/>
  </si>
  <si>
    <t>　LRH2/　1.5　外構材</t>
    <rPh sb="11" eb="13">
      <t>ガイコウ</t>
    </rPh>
    <rPh sb="13" eb="14">
      <t>ザイ</t>
    </rPh>
    <phoneticPr fontId="4"/>
  </si>
  <si>
    <t>　</t>
    <phoneticPr fontId="4"/>
  </si>
  <si>
    <t>◆独自加点項目</t>
    <rPh sb="1" eb="3">
      <t>ドクジ</t>
    </rPh>
    <rPh sb="3" eb="5">
      <t>カテン</t>
    </rPh>
    <rPh sb="5" eb="7">
      <t>コウモク</t>
    </rPh>
    <phoneticPr fontId="162"/>
  </si>
  <si>
    <t>　QH2/　1.2　外壁材</t>
    <phoneticPr fontId="162"/>
  </si>
  <si>
    <t>適切な保護措置、維持管理下に置かれた自然素材の使用を実施している。</t>
    <rPh sb="0" eb="2">
      <t>テキセツ</t>
    </rPh>
    <rPh sb="3" eb="5">
      <t>ホゴ</t>
    </rPh>
    <rPh sb="5" eb="7">
      <t>ソチ</t>
    </rPh>
    <rPh sb="8" eb="10">
      <t>イジ</t>
    </rPh>
    <rPh sb="10" eb="12">
      <t>カンリ</t>
    </rPh>
    <rPh sb="12" eb="13">
      <t>カ</t>
    </rPh>
    <rPh sb="14" eb="15">
      <t>オ</t>
    </rPh>
    <rPh sb="18" eb="20">
      <t>シゼン</t>
    </rPh>
    <rPh sb="20" eb="22">
      <t>ソザイ</t>
    </rPh>
    <rPh sb="23" eb="25">
      <t>シヨウ</t>
    </rPh>
    <rPh sb="26" eb="28">
      <t>ジッシ</t>
    </rPh>
    <phoneticPr fontId="162"/>
  </si>
  <si>
    <t>　LRH2/　1.1.1　木質系住宅</t>
    <rPh sb="13" eb="14">
      <t>モク</t>
    </rPh>
    <rPh sb="14" eb="15">
      <t>シツ</t>
    </rPh>
    <rPh sb="15" eb="16">
      <t>ケイ</t>
    </rPh>
    <rPh sb="16" eb="18">
      <t>ジュウタク</t>
    </rPh>
    <phoneticPr fontId="162"/>
  </si>
  <si>
    <t>　LRH2/　1.3　外装材</t>
    <phoneticPr fontId="162"/>
  </si>
  <si>
    <t>　LRH2/　1.4　内装材</t>
    <rPh sb="11" eb="13">
      <t>ナイソウ</t>
    </rPh>
    <phoneticPr fontId="162"/>
  </si>
  <si>
    <t>　LRH2/　1.5　外構材</t>
    <phoneticPr fontId="162"/>
  </si>
  <si>
    <t>　LRH2/　2.1　生産段階(構造用躯体部分)</t>
    <rPh sb="11" eb="13">
      <t>セイサン</t>
    </rPh>
    <rPh sb="13" eb="15">
      <t>ダンカイ</t>
    </rPh>
    <rPh sb="16" eb="18">
      <t>コウゾウ</t>
    </rPh>
    <rPh sb="18" eb="19">
      <t>ヨウ</t>
    </rPh>
    <rPh sb="19" eb="21">
      <t>クタイ</t>
    </rPh>
    <rPh sb="21" eb="23">
      <t>ブブン</t>
    </rPh>
    <phoneticPr fontId="162"/>
  </si>
  <si>
    <t xml:space="preserve">地域産木材や，ウッドマイレージの小さい材，リユース材（古材）を積極的に使用している。
</t>
  </si>
  <si>
    <t>　LRH2/　2.2　生産段階(非躯体部分)</t>
    <rPh sb="11" eb="13">
      <t>セイサン</t>
    </rPh>
    <rPh sb="13" eb="15">
      <t>ダンカイ</t>
    </rPh>
    <rPh sb="16" eb="17">
      <t>ヒ</t>
    </rPh>
    <rPh sb="17" eb="19">
      <t>クタイ</t>
    </rPh>
    <rPh sb="19" eb="21">
      <t>ブブン</t>
    </rPh>
    <phoneticPr fontId="162"/>
  </si>
  <si>
    <t xml:space="preserve">地域産木材や，ウッドマイレージの小さい材，リユース材（古材）を積極的に使用している。
</t>
    <phoneticPr fontId="4"/>
  </si>
  <si>
    <t>ともに住まう</t>
    <rPh sb="3" eb="4">
      <t>ス</t>
    </rPh>
    <phoneticPr fontId="4"/>
  </si>
  <si>
    <t>■自然とともに住まう</t>
    <rPh sb="1" eb="3">
      <t>シゼン</t>
    </rPh>
    <rPh sb="7" eb="8">
      <t>ス</t>
    </rPh>
    <phoneticPr fontId="162"/>
  </si>
  <si>
    <t>合計点</t>
  </si>
  <si>
    <t>■地域とともに住まう</t>
    <rPh sb="1" eb="3">
      <t>チイキ</t>
    </rPh>
    <rPh sb="7" eb="8">
      <t>ス</t>
    </rPh>
    <phoneticPr fontId="162"/>
  </si>
  <si>
    <t>合計点</t>
    <phoneticPr fontId="4"/>
  </si>
  <si>
    <t>◇自然を感じられる計画</t>
    <rPh sb="1" eb="3">
      <t>シゼン</t>
    </rPh>
    <rPh sb="4" eb="5">
      <t>カン</t>
    </rPh>
    <rPh sb="9" eb="11">
      <t>ケイカク</t>
    </rPh>
    <phoneticPr fontId="4"/>
  </si>
  <si>
    <t>◇地域環境やコミュニティーへの配慮</t>
    <rPh sb="1" eb="3">
      <t>チイキ</t>
    </rPh>
    <rPh sb="3" eb="5">
      <t>カンキョウ</t>
    </rPh>
    <rPh sb="15" eb="17">
      <t>ハイリョ</t>
    </rPh>
    <phoneticPr fontId="4"/>
  </si>
  <si>
    <t>　QH3/　2.1　敷地内の緑化</t>
    <rPh sb="10" eb="12">
      <t>シキチ</t>
    </rPh>
    <rPh sb="12" eb="13">
      <t>ナイ</t>
    </rPh>
    <rPh sb="14" eb="16">
      <t>リョクカ</t>
    </rPh>
    <phoneticPr fontId="4"/>
  </si>
  <si>
    <t>　QH3/　3　地域の安全・安心</t>
    <rPh sb="8" eb="10">
      <t>チイキ</t>
    </rPh>
    <rPh sb="11" eb="13">
      <t>アンゼン</t>
    </rPh>
    <rPh sb="14" eb="16">
      <t>アンシン</t>
    </rPh>
    <phoneticPr fontId="4"/>
  </si>
  <si>
    <t>スコア</t>
    <phoneticPr fontId="4"/>
  </si>
  <si>
    <t>　LRH3/　3.1　騒音・振動・排気・排熱の低減</t>
    <rPh sb="11" eb="13">
      <t>ソウオン</t>
    </rPh>
    <rPh sb="14" eb="16">
      <t>シンドウ</t>
    </rPh>
    <rPh sb="17" eb="19">
      <t>ハイキ</t>
    </rPh>
    <rPh sb="20" eb="22">
      <t>ハイネツ</t>
    </rPh>
    <rPh sb="23" eb="25">
      <t>テイゲン</t>
    </rPh>
    <phoneticPr fontId="4"/>
  </si>
  <si>
    <t>　LRH3/　3.2　周辺温熱環境の改善</t>
    <rPh sb="11" eb="13">
      <t>シュウヘン</t>
    </rPh>
    <rPh sb="13" eb="15">
      <t>オンネツ</t>
    </rPh>
    <rPh sb="15" eb="17">
      <t>カンキョウ</t>
    </rPh>
    <rPh sb="18" eb="20">
      <t>カイゼン</t>
    </rPh>
    <phoneticPr fontId="4"/>
  </si>
  <si>
    <t>＜自由記述＞</t>
  </si>
  <si>
    <t>■歴史とともに住まう</t>
    <rPh sb="1" eb="3">
      <t>レキシ</t>
    </rPh>
    <rPh sb="7" eb="8">
      <t>ス</t>
    </rPh>
    <phoneticPr fontId="162"/>
  </si>
  <si>
    <t>◇歴史性への配慮</t>
    <rPh sb="1" eb="3">
      <t>レキシ</t>
    </rPh>
    <rPh sb="3" eb="4">
      <t>セイ</t>
    </rPh>
    <rPh sb="6" eb="8">
      <t>ハイリョ</t>
    </rPh>
    <phoneticPr fontId="4"/>
  </si>
  <si>
    <r>
      <t>　</t>
    </r>
    <r>
      <rPr>
        <sz val="9"/>
        <rFont val="ＭＳ Ｐゴシック"/>
        <family val="3"/>
        <charset val="128"/>
      </rPr>
      <t>QH3/　4　地域資源の活用と住文化の継承</t>
    </r>
    <rPh sb="8" eb="10">
      <t>チイキ</t>
    </rPh>
    <rPh sb="10" eb="12">
      <t>シゲン</t>
    </rPh>
    <rPh sb="13" eb="15">
      <t>カツヨウ</t>
    </rPh>
    <rPh sb="16" eb="17">
      <t>ジュウ</t>
    </rPh>
    <rPh sb="17" eb="19">
      <t>ブンカ</t>
    </rPh>
    <rPh sb="20" eb="22">
      <t>ケイショウ</t>
    </rPh>
    <phoneticPr fontId="4"/>
  </si>
  <si>
    <t>自然からつくる</t>
    <rPh sb="0" eb="2">
      <t>シゼン</t>
    </rPh>
    <phoneticPr fontId="4"/>
  </si>
  <si>
    <t>■自然素材の利用</t>
    <rPh sb="1" eb="3">
      <t>シゼン</t>
    </rPh>
    <rPh sb="3" eb="5">
      <t>ソザイ</t>
    </rPh>
    <rPh sb="6" eb="8">
      <t>リヨウ</t>
    </rPh>
    <phoneticPr fontId="162"/>
  </si>
  <si>
    <t>■自然環境の利用</t>
    <phoneticPr fontId="162"/>
  </si>
  <si>
    <r>
      <t>　</t>
    </r>
    <r>
      <rPr>
        <sz val="9"/>
        <rFont val="ＭＳ Ｐゴシック"/>
        <family val="3"/>
        <charset val="128"/>
      </rPr>
      <t>QH1/　1.1.2　日射の調整機能</t>
    </r>
    <rPh sb="12" eb="14">
      <t>ニッシャ</t>
    </rPh>
    <rPh sb="15" eb="17">
      <t>チョウセイ</t>
    </rPh>
    <rPh sb="17" eb="19">
      <t>キノウ</t>
    </rPh>
    <phoneticPr fontId="4"/>
  </si>
  <si>
    <t>　LRH2/　1.1.1　木質系住宅</t>
    <rPh sb="13" eb="15">
      <t>モクシツ</t>
    </rPh>
    <rPh sb="15" eb="16">
      <t>ケイ</t>
    </rPh>
    <rPh sb="16" eb="18">
      <t>ジュウタク</t>
    </rPh>
    <phoneticPr fontId="4"/>
  </si>
  <si>
    <r>
      <t>　</t>
    </r>
    <r>
      <rPr>
        <sz val="9"/>
        <rFont val="ＭＳ Ｐゴシック"/>
        <family val="3"/>
        <charset val="128"/>
      </rPr>
      <t>QH1/　1.2.1　風を取り込み、熱気を逃がす</t>
    </r>
    <rPh sb="12" eb="13">
      <t>カゼ</t>
    </rPh>
    <rPh sb="14" eb="15">
      <t>ト</t>
    </rPh>
    <rPh sb="16" eb="17">
      <t>コ</t>
    </rPh>
    <rPh sb="19" eb="21">
      <t>ネッキ</t>
    </rPh>
    <rPh sb="22" eb="23">
      <t>ニ</t>
    </rPh>
    <phoneticPr fontId="4"/>
  </si>
  <si>
    <r>
      <t>　</t>
    </r>
    <r>
      <rPr>
        <sz val="9"/>
        <rFont val="ＭＳ Ｐゴシック"/>
        <family val="3"/>
        <charset val="128"/>
      </rPr>
      <t>QH1/　3.1　昼光の利用</t>
    </r>
    <rPh sb="10" eb="12">
      <t>チュウコウ</t>
    </rPh>
    <rPh sb="13" eb="15">
      <t>リヨウ</t>
    </rPh>
    <phoneticPr fontId="4"/>
  </si>
  <si>
    <t>＜自由記述＞</t>
    <phoneticPr fontId="4"/>
  </si>
  <si>
    <t>◆独自加点項目</t>
    <phoneticPr fontId="162"/>
  </si>
  <si>
    <t>格子（ルーバー），簾（状スクリーン）や，軒により日射調整をしたり，落葉樹等の植物で日差しを遮る工夫等をしている。</t>
    <rPh sb="49" eb="50">
      <t>ナド</t>
    </rPh>
    <phoneticPr fontId="4"/>
  </si>
  <si>
    <t>　LRH2/　1.1.1　木質系住宅</t>
    <rPh sb="13" eb="15">
      <t>モクシツ</t>
    </rPh>
    <rPh sb="15" eb="16">
      <t>ケイ</t>
    </rPh>
    <rPh sb="16" eb="18">
      <t>ジュウタク</t>
    </rPh>
    <phoneticPr fontId="162"/>
  </si>
  <si>
    <t xml:space="preserve">  LRH2/　1.3　外装材</t>
    <rPh sb="12" eb="15">
      <t>ガイソウザイ</t>
    </rPh>
    <phoneticPr fontId="162"/>
  </si>
  <si>
    <t>4　低炭素景観の創出に関する評価</t>
    <rPh sb="2" eb="5">
      <t>テイタンソ</t>
    </rPh>
    <rPh sb="5" eb="7">
      <t>ケイカン</t>
    </rPh>
    <rPh sb="8" eb="10">
      <t>ソウシュツ</t>
    </rPh>
    <rPh sb="11" eb="12">
      <t>カン</t>
    </rPh>
    <rPh sb="14" eb="16">
      <t>ヒョウカ</t>
    </rPh>
    <phoneticPr fontId="162"/>
  </si>
  <si>
    <t>QH1/1.1.2日射の調整機能</t>
    <phoneticPr fontId="4"/>
  </si>
  <si>
    <t>低炭素景観</t>
    <rPh sb="0" eb="3">
      <t>テイタンソ</t>
    </rPh>
    <rPh sb="3" eb="5">
      <t>ケイカン</t>
    </rPh>
    <phoneticPr fontId="4"/>
  </si>
  <si>
    <t>QH1/3.1昼光の利用</t>
  </si>
  <si>
    <t>取組数</t>
    <rPh sb="0" eb="1">
      <t>ト</t>
    </rPh>
    <rPh sb="1" eb="2">
      <t>ク</t>
    </rPh>
    <rPh sb="2" eb="3">
      <t>スウ</t>
    </rPh>
    <phoneticPr fontId="4"/>
  </si>
  <si>
    <t>QH2/1.2外壁材</t>
  </si>
  <si>
    <t>QH3/4地域資源の活用と住文化の継承</t>
  </si>
  <si>
    <t>LRH2/1.3外装材</t>
  </si>
  <si>
    <t>LRH2/1.5外構材</t>
  </si>
  <si>
    <r>
      <t>5　ライフサイクルCO</t>
    </r>
    <r>
      <rPr>
        <b/>
        <vertAlign val="subscript"/>
        <sz val="12"/>
        <color indexed="9"/>
        <rFont val="ＭＳ Ｐゴシック"/>
        <family val="3"/>
        <charset val="128"/>
      </rPr>
      <t>2</t>
    </r>
    <r>
      <rPr>
        <b/>
        <sz val="12"/>
        <color indexed="9"/>
        <rFont val="ＭＳ Ｐゴシック"/>
        <family val="3"/>
        <charset val="128"/>
      </rPr>
      <t>とCO</t>
    </r>
    <r>
      <rPr>
        <b/>
        <vertAlign val="subscript"/>
        <sz val="12"/>
        <color indexed="9"/>
        <rFont val="ＭＳ Ｐゴシック"/>
        <family val="3"/>
        <charset val="128"/>
      </rPr>
      <t>2</t>
    </r>
    <r>
      <rPr>
        <b/>
        <sz val="12"/>
        <color indexed="9"/>
        <rFont val="ＭＳ Ｐゴシック"/>
        <family val="3"/>
        <charset val="128"/>
      </rPr>
      <t>削減率</t>
    </r>
    <rPh sb="16" eb="18">
      <t>サクゲン</t>
    </rPh>
    <rPh sb="18" eb="19">
      <t>リツ</t>
    </rPh>
    <phoneticPr fontId="162"/>
  </si>
  <si>
    <t>LRH3/2.2既存の自然環境の保全</t>
  </si>
  <si>
    <r>
      <t>ライフサイクルCO</t>
    </r>
    <r>
      <rPr>
        <vertAlign val="subscript"/>
        <sz val="9"/>
        <rFont val="ＭＳ Ｐゴシック"/>
        <family val="3"/>
        <charset val="128"/>
      </rPr>
      <t>2</t>
    </r>
    <phoneticPr fontId="162"/>
  </si>
  <si>
    <r>
      <t>ｋｇ-CO</t>
    </r>
    <r>
      <rPr>
        <vertAlign val="subscript"/>
        <sz val="9"/>
        <rFont val="ＭＳ Ｐゴシック"/>
        <family val="3"/>
        <charset val="128"/>
      </rPr>
      <t>2</t>
    </r>
    <r>
      <rPr>
        <sz val="9"/>
        <rFont val="ＭＳ Ｐゴシック"/>
        <family val="3"/>
        <charset val="128"/>
      </rPr>
      <t>/年㎡</t>
    </r>
    <rPh sb="7" eb="8">
      <t>ネン</t>
    </rPh>
    <phoneticPr fontId="162"/>
  </si>
  <si>
    <t>ライフサイクル</t>
    <phoneticPr fontId="162"/>
  </si>
  <si>
    <t>LRH3/3.2周辺温熱環境の改善</t>
  </si>
  <si>
    <r>
      <t>（ライフサイクルCO</t>
    </r>
    <r>
      <rPr>
        <vertAlign val="subscript"/>
        <sz val="9"/>
        <rFont val="ＭＳ Ｐゴシック"/>
        <family val="3"/>
        <charset val="128"/>
      </rPr>
      <t>2</t>
    </r>
    <r>
      <rPr>
        <sz val="9"/>
        <rFont val="ＭＳ Ｐゴシック"/>
        <family val="3"/>
        <charset val="128"/>
      </rPr>
      <t>参照値）</t>
    </r>
    <rPh sb="11" eb="13">
      <t>サンショウ</t>
    </rPh>
    <rPh sb="13" eb="14">
      <t>チ</t>
    </rPh>
    <phoneticPr fontId="4"/>
  </si>
  <si>
    <r>
      <t>CO</t>
    </r>
    <r>
      <rPr>
        <b/>
        <vertAlign val="subscript"/>
        <sz val="11"/>
        <rFont val="ＭＳ Ｐゴシック"/>
        <family val="3"/>
        <charset val="128"/>
      </rPr>
      <t>2</t>
    </r>
    <r>
      <rPr>
        <b/>
        <sz val="11"/>
        <rFont val="ＭＳ Ｐゴシック"/>
        <family val="3"/>
        <charset val="128"/>
      </rPr>
      <t>削減率</t>
    </r>
    <phoneticPr fontId="4"/>
  </si>
  <si>
    <t>LRH3/3.1騒音・振動・排気・廃熱の低減</t>
  </si>
  <si>
    <r>
      <t>CO</t>
    </r>
    <r>
      <rPr>
        <vertAlign val="subscript"/>
        <sz val="9"/>
        <rFont val="ＭＳ Ｐゴシック"/>
        <family val="3"/>
        <charset val="128"/>
      </rPr>
      <t>2</t>
    </r>
    <r>
      <rPr>
        <sz val="9"/>
        <rFont val="ＭＳ Ｐゴシック"/>
        <family val="3"/>
        <charset val="128"/>
      </rPr>
      <t>削減量</t>
    </r>
    <rPh sb="5" eb="6">
      <t>リョウ</t>
    </rPh>
    <phoneticPr fontId="162"/>
  </si>
  <si>
    <r>
      <t>ｋｇ-CO</t>
    </r>
    <r>
      <rPr>
        <vertAlign val="subscript"/>
        <sz val="9"/>
        <rFont val="ＭＳ Ｐゴシック"/>
        <family val="3"/>
        <charset val="128"/>
      </rPr>
      <t>2</t>
    </r>
    <r>
      <rPr>
        <sz val="9"/>
        <rFont val="ＭＳ Ｐゴシック"/>
        <family val="3"/>
        <charset val="128"/>
      </rPr>
      <t>/年㎡</t>
    </r>
    <phoneticPr fontId="4"/>
  </si>
  <si>
    <r>
      <t>6　ウッドマイレージＣＯ</t>
    </r>
    <r>
      <rPr>
        <b/>
        <vertAlign val="subscript"/>
        <sz val="12"/>
        <color indexed="9"/>
        <rFont val="ＭＳ Ｐゴシック"/>
        <family val="3"/>
        <charset val="128"/>
      </rPr>
      <t>２</t>
    </r>
    <r>
      <rPr>
        <b/>
        <sz val="12"/>
        <color indexed="9"/>
        <rFont val="ＭＳ Ｐゴシック"/>
        <family val="3"/>
        <charset val="128"/>
      </rPr>
      <t>とＣＯ</t>
    </r>
    <r>
      <rPr>
        <b/>
        <vertAlign val="subscript"/>
        <sz val="12"/>
        <color indexed="9"/>
        <rFont val="ＭＳ Ｐゴシック"/>
        <family val="3"/>
        <charset val="128"/>
      </rPr>
      <t>２</t>
    </r>
    <r>
      <rPr>
        <b/>
        <sz val="12"/>
        <color indexed="9"/>
        <rFont val="ＭＳ Ｐゴシック"/>
        <family val="3"/>
        <charset val="128"/>
      </rPr>
      <t>削減率</t>
    </r>
    <rPh sb="17" eb="19">
      <t>サクゲン</t>
    </rPh>
    <rPh sb="19" eb="20">
      <t>リツ</t>
    </rPh>
    <phoneticPr fontId="162"/>
  </si>
  <si>
    <r>
      <t>ウッドマイレージCO</t>
    </r>
    <r>
      <rPr>
        <vertAlign val="subscript"/>
        <sz val="9"/>
        <rFont val="ＭＳ Ｐゴシック"/>
        <family val="3"/>
        <charset val="128"/>
      </rPr>
      <t>2</t>
    </r>
    <phoneticPr fontId="162"/>
  </si>
  <si>
    <r>
      <t>ｋｇ-CO</t>
    </r>
    <r>
      <rPr>
        <vertAlign val="subscript"/>
        <sz val="9"/>
        <rFont val="ＭＳ Ｐゴシック"/>
        <family val="3"/>
        <charset val="128"/>
      </rPr>
      <t>2</t>
    </r>
    <phoneticPr fontId="162"/>
  </si>
  <si>
    <t>ウッドマイレージ</t>
    <phoneticPr fontId="162"/>
  </si>
  <si>
    <r>
      <t>CO</t>
    </r>
    <r>
      <rPr>
        <vertAlign val="subscript"/>
        <sz val="9"/>
        <rFont val="ＭＳ Ｐゴシック"/>
        <family val="3"/>
        <charset val="128"/>
      </rPr>
      <t>2</t>
    </r>
    <r>
      <rPr>
        <sz val="9"/>
        <rFont val="ＭＳ Ｐゴシック"/>
        <family val="3"/>
        <charset val="128"/>
      </rPr>
      <t>削減効果</t>
    </r>
    <phoneticPr fontId="4"/>
  </si>
  <si>
    <r>
      <t>ｋｇ-CO</t>
    </r>
    <r>
      <rPr>
        <vertAlign val="subscript"/>
        <sz val="9"/>
        <rFont val="ＭＳ Ｐゴシック"/>
        <family val="3"/>
        <charset val="128"/>
      </rPr>
      <t>2</t>
    </r>
    <phoneticPr fontId="4"/>
  </si>
  <si>
    <r>
      <t>CO</t>
    </r>
    <r>
      <rPr>
        <b/>
        <vertAlign val="subscript"/>
        <sz val="11"/>
        <rFont val="ＭＳ Ｐゴシック"/>
        <family val="3"/>
        <charset val="128"/>
      </rPr>
      <t>2</t>
    </r>
    <r>
      <rPr>
        <b/>
        <sz val="11"/>
        <rFont val="ＭＳ Ｐゴシック"/>
        <family val="3"/>
        <charset val="128"/>
      </rPr>
      <t>削減率</t>
    </r>
    <phoneticPr fontId="4"/>
  </si>
  <si>
    <t>：「ウッドマイレージ計算書」から転記</t>
    <rPh sb="10" eb="13">
      <t>ケイサンショ</t>
    </rPh>
    <rPh sb="16" eb="18">
      <t>テンキ</t>
    </rPh>
    <phoneticPr fontId="4"/>
  </si>
  <si>
    <t>：自由記述入力欄</t>
    <rPh sb="1" eb="3">
      <t>ジユウ</t>
    </rPh>
    <rPh sb="3" eb="5">
      <t>キジュツ</t>
    </rPh>
    <rPh sb="5" eb="7">
      <t>ニュウリョク</t>
    </rPh>
    <rPh sb="7" eb="8">
      <t>ラン</t>
    </rPh>
    <phoneticPr fontId="4"/>
  </si>
  <si>
    <t>CASBEE京都　戸建-新築　独自システム2015(v.1.0)</t>
    <phoneticPr fontId="4"/>
  </si>
  <si>
    <t>　LRH1/　3.1　住まい方の提示</t>
    <rPh sb="11" eb="12">
      <t>ス</t>
    </rPh>
    <rPh sb="14" eb="15">
      <t>カタ</t>
    </rPh>
    <rPh sb="16" eb="18">
      <t>テイジ</t>
    </rPh>
    <phoneticPr fontId="4"/>
  </si>
  <si>
    <t>居間を含む一体的空間において，機器効率が下記項目を満たさない暖房設備を採用している。</t>
    <rPh sb="0" eb="2">
      <t>イマ</t>
    </rPh>
    <rPh sb="3" eb="4">
      <t>フク</t>
    </rPh>
    <rPh sb="5" eb="8">
      <t>イッタイテキ</t>
    </rPh>
    <rPh sb="8" eb="10">
      <t>クウカン</t>
    </rPh>
    <rPh sb="15" eb="17">
      <t>キキ</t>
    </rPh>
    <rPh sb="17" eb="19">
      <t>コウリツ</t>
    </rPh>
    <rPh sb="20" eb="22">
      <t>カキ</t>
    </rPh>
    <rPh sb="22" eb="24">
      <t>コウモク</t>
    </rPh>
    <rPh sb="25" eb="26">
      <t>ミ</t>
    </rPh>
    <rPh sb="30" eb="32">
      <t>ダンボウ</t>
    </rPh>
    <rPh sb="32" eb="34">
      <t>セツビ</t>
    </rPh>
    <rPh sb="35" eb="37">
      <t>サイヨウ</t>
    </rPh>
    <phoneticPr fontId="4"/>
  </si>
  <si>
    <t>居間を含む一体的空間において，機器効率が一般的な暖房設備を採用している。</t>
    <rPh sb="0" eb="2">
      <t>イマ</t>
    </rPh>
    <rPh sb="3" eb="4">
      <t>フク</t>
    </rPh>
    <rPh sb="5" eb="8">
      <t>イッタイテキ</t>
    </rPh>
    <rPh sb="8" eb="10">
      <t>クウカン</t>
    </rPh>
    <rPh sb="15" eb="17">
      <t>キキ</t>
    </rPh>
    <rPh sb="17" eb="19">
      <t>コウリツ</t>
    </rPh>
    <rPh sb="20" eb="23">
      <t>イッパンテキ</t>
    </rPh>
    <rPh sb="24" eb="26">
      <t>ダンボウ</t>
    </rPh>
    <rPh sb="26" eb="28">
      <t>セツビ</t>
    </rPh>
    <rPh sb="29" eb="31">
      <t>サイヨウ</t>
    </rPh>
    <phoneticPr fontId="4"/>
  </si>
  <si>
    <t>居間を含む一体的空間において，機器効率が高い暖房設備を採用している。</t>
    <rPh sb="0" eb="2">
      <t>イマ</t>
    </rPh>
    <rPh sb="3" eb="4">
      <t>フク</t>
    </rPh>
    <rPh sb="5" eb="8">
      <t>イッタイテキ</t>
    </rPh>
    <rPh sb="8" eb="10">
      <t>クウカン</t>
    </rPh>
    <rPh sb="15" eb="17">
      <t>キキ</t>
    </rPh>
    <rPh sb="17" eb="19">
      <t>コウリツ</t>
    </rPh>
    <rPh sb="20" eb="21">
      <t>タカ</t>
    </rPh>
    <rPh sb="22" eb="24">
      <t>ダンボウ</t>
    </rPh>
    <rPh sb="24" eb="26">
      <t>セツビ</t>
    </rPh>
    <rPh sb="27" eb="29">
      <t>サイヨウ</t>
    </rPh>
    <phoneticPr fontId="4"/>
  </si>
  <si>
    <t>暖房設備</t>
    <rPh sb="0" eb="2">
      <t>ダンボウ</t>
    </rPh>
    <rPh sb="2" eb="4">
      <t>セツビ</t>
    </rPh>
    <phoneticPr fontId="4"/>
  </si>
  <si>
    <t>冷房設備</t>
    <rPh sb="0" eb="2">
      <t>レイボウ</t>
    </rPh>
    <rPh sb="2" eb="4">
      <t>セツビ</t>
    </rPh>
    <phoneticPr fontId="4"/>
  </si>
  <si>
    <t>居間を含む一体的空間において，機器効率が一般的な冷房設備を採用している。</t>
    <rPh sb="0" eb="2">
      <t>イマ</t>
    </rPh>
    <rPh sb="3" eb="4">
      <t>フク</t>
    </rPh>
    <rPh sb="5" eb="8">
      <t>イッタイテキ</t>
    </rPh>
    <rPh sb="8" eb="10">
      <t>クウカン</t>
    </rPh>
    <rPh sb="15" eb="17">
      <t>キキ</t>
    </rPh>
    <rPh sb="17" eb="19">
      <t>コウリツ</t>
    </rPh>
    <rPh sb="20" eb="23">
      <t>イッパンテキ</t>
    </rPh>
    <rPh sb="24" eb="26">
      <t>レイボウ</t>
    </rPh>
    <rPh sb="26" eb="28">
      <t>セツビ</t>
    </rPh>
    <rPh sb="29" eb="31">
      <t>サイヨウ</t>
    </rPh>
    <phoneticPr fontId="4"/>
  </si>
  <si>
    <t>居間を含む一体的空間において，機器効率が高い冷房設備を採用している。</t>
    <rPh sb="0" eb="2">
      <t>イマ</t>
    </rPh>
    <rPh sb="3" eb="4">
      <t>フク</t>
    </rPh>
    <rPh sb="5" eb="8">
      <t>イッタイテキ</t>
    </rPh>
    <rPh sb="8" eb="10">
      <t>クウカン</t>
    </rPh>
    <rPh sb="15" eb="17">
      <t>キキ</t>
    </rPh>
    <rPh sb="17" eb="19">
      <t>コウリツ</t>
    </rPh>
    <rPh sb="20" eb="21">
      <t>タカ</t>
    </rPh>
    <rPh sb="22" eb="24">
      <t>レイボウ</t>
    </rPh>
    <rPh sb="24" eb="26">
      <t>セツビ</t>
    </rPh>
    <rPh sb="27" eb="29">
      <t>サイヨウ</t>
    </rPh>
    <phoneticPr fontId="4"/>
  </si>
  <si>
    <t>推奨内容である日射熱，自然風以外の自然エネルギー利用や，機器効率が高い暖房設備のペレットストーブを利用している。</t>
    <rPh sb="0" eb="2">
      <t>スイショウ</t>
    </rPh>
    <rPh sb="2" eb="4">
      <t>ナイヨウ</t>
    </rPh>
    <rPh sb="49" eb="51">
      <t>リヨウ</t>
    </rPh>
    <phoneticPr fontId="4"/>
  </si>
  <si>
    <t>推奨内容である日射熱，自然風以外の自然エネルギー利用を行っている。</t>
    <rPh sb="27" eb="28">
      <t>オコナ</t>
    </rPh>
    <phoneticPr fontId="4"/>
  </si>
  <si>
    <t>　QH1/　1.1.2　日射の調整機能</t>
    <phoneticPr fontId="162"/>
  </si>
  <si>
    <t>　QH1/　3.1　昼光の利用</t>
    <phoneticPr fontId="162"/>
  </si>
  <si>
    <t>坪庭（中庭），軒，縁など，推奨内容として挙げている昼光利用設備を採用している</t>
    <phoneticPr fontId="4"/>
  </si>
  <si>
    <t xml:space="preserve">  LRH1/1.1　躯体と設備による省エネ
　　　　　　　　（暖房設備）</t>
    <rPh sb="11" eb="13">
      <t>クタイ</t>
    </rPh>
    <rPh sb="14" eb="16">
      <t>セツビ</t>
    </rPh>
    <rPh sb="19" eb="20">
      <t>ショウ</t>
    </rPh>
    <phoneticPr fontId="162"/>
  </si>
  <si>
    <t>居間を含む一体的空間において，機器効率が下記項目を満たさない暖房設備を採用している。</t>
    <phoneticPr fontId="4"/>
  </si>
  <si>
    <t>居間を含む一体的空間において，機器効率が一般的な暖房設備を採用している。</t>
    <phoneticPr fontId="4"/>
  </si>
  <si>
    <t>居間を含む一体的空間において，機器効率が高い暖房設備を採用している。</t>
    <phoneticPr fontId="4"/>
  </si>
  <si>
    <t>日射熱、自然風以外の自然エネルギー利用や，機器効率が高い暖房設備のペレットストーブを利用している。</t>
    <phoneticPr fontId="4"/>
  </si>
  <si>
    <t xml:space="preserve">  LRH1/1.1　躯体と設備による省エネ
　　　　　　　　（冷房設備）</t>
    <rPh sb="11" eb="13">
      <t>クタイ</t>
    </rPh>
    <rPh sb="14" eb="16">
      <t>セツビ</t>
    </rPh>
    <rPh sb="19" eb="20">
      <t>ショウ</t>
    </rPh>
    <rPh sb="32" eb="34">
      <t>レイボウ</t>
    </rPh>
    <phoneticPr fontId="162"/>
  </si>
  <si>
    <t>居間を含む一体的空間において，機器効率が一般的な冷房設備を採用している。</t>
    <phoneticPr fontId="4"/>
  </si>
  <si>
    <t>居間を含む一体的空間において，機器効率が高い冷房設備を採用している。</t>
    <phoneticPr fontId="4"/>
  </si>
  <si>
    <t>日射熱、自然風以外の自然エネルギー利用を行っている。</t>
    <phoneticPr fontId="4"/>
  </si>
  <si>
    <t>加点条件でレベル5を超える</t>
    <rPh sb="0" eb="2">
      <t>カテン</t>
    </rPh>
    <rPh sb="2" eb="4">
      <t>ジョウケン</t>
    </rPh>
    <rPh sb="10" eb="11">
      <t>コ</t>
    </rPh>
    <phoneticPr fontId="4"/>
  </si>
  <si>
    <t>加点条件でレベル5を超える</t>
    <phoneticPr fontId="4"/>
  </si>
  <si>
    <t>※高評価項目が自動的に抽出されます。着色されている欄を記入の上，提出して下さい。</t>
    <rPh sb="1" eb="4">
      <t>コウヒョウカ</t>
    </rPh>
    <rPh sb="4" eb="6">
      <t>コウモク</t>
    </rPh>
    <rPh sb="7" eb="10">
      <t>ジドウテキ</t>
    </rPh>
    <rPh sb="11" eb="13">
      <t>チュウシュツ</t>
    </rPh>
    <rPh sb="18" eb="20">
      <t>チャクショク</t>
    </rPh>
    <rPh sb="25" eb="26">
      <t>ラン</t>
    </rPh>
    <rPh sb="27" eb="29">
      <t>キニュウ</t>
    </rPh>
    <rPh sb="30" eb="31">
      <t>ウエ</t>
    </rPh>
    <rPh sb="32" eb="34">
      <t>テイシュツ</t>
    </rPh>
    <rPh sb="36" eb="37">
      <t>クダ</t>
    </rPh>
    <phoneticPr fontId="4"/>
  </si>
  <si>
    <t>環境配慮設計の概要記入欄</t>
    <rPh sb="0" eb="2">
      <t>カンキョウ</t>
    </rPh>
    <rPh sb="2" eb="4">
      <t>ハイリョ</t>
    </rPh>
    <rPh sb="4" eb="6">
      <t>セッケイ</t>
    </rPh>
    <rPh sb="7" eb="9">
      <t>ガイヨウ</t>
    </rPh>
    <rPh sb="9" eb="11">
      <t>キニュウ</t>
    </rPh>
    <rPh sb="11" eb="12">
      <t>ラン</t>
    </rPh>
    <phoneticPr fontId="4"/>
  </si>
  <si>
    <t>Q1/1.2.1</t>
    <phoneticPr fontId="4"/>
  </si>
  <si>
    <t>全てのサッシにT-2以上を採用</t>
    <rPh sb="0" eb="1">
      <t>スベ</t>
    </rPh>
    <rPh sb="10" eb="12">
      <t>イジョウ</t>
    </rPh>
    <rPh sb="13" eb="15">
      <t>サイヨウ</t>
    </rPh>
    <phoneticPr fontId="4"/>
  </si>
  <si>
    <t>特記仕様書</t>
    <rPh sb="0" eb="2">
      <t>トッキ</t>
    </rPh>
    <rPh sb="2" eb="5">
      <t>シヨウショ</t>
    </rPh>
    <phoneticPr fontId="4"/>
  </si>
  <si>
    <t>A-1</t>
    <phoneticPr fontId="4"/>
  </si>
  <si>
    <t>LR2/3.1</t>
    <phoneticPr fontId="4"/>
  </si>
  <si>
    <t>PRTR法対象物質を含有しない建材採用</t>
    <rPh sb="4" eb="5">
      <t>ホウ</t>
    </rPh>
    <rPh sb="5" eb="7">
      <t>タイショウ</t>
    </rPh>
    <rPh sb="7" eb="9">
      <t>ブッシツ</t>
    </rPh>
    <rPh sb="10" eb="12">
      <t>ガンユウ</t>
    </rPh>
    <rPh sb="15" eb="17">
      <t>ケンザイ</t>
    </rPh>
    <rPh sb="17" eb="19">
      <t>サイヨウ</t>
    </rPh>
    <phoneticPr fontId="4"/>
  </si>
  <si>
    <t>MSDSシート</t>
    <phoneticPr fontId="4"/>
  </si>
  <si>
    <t>別添１</t>
    <rPh sb="0" eb="2">
      <t>ベッテン</t>
    </rPh>
    <phoneticPr fontId="4"/>
  </si>
  <si>
    <t xml:space="preserve">注）　設計における総合的なコンセプトを簡潔に記載してください。
</t>
    <rPh sb="3" eb="5">
      <t>セッケイ</t>
    </rPh>
    <phoneticPr fontId="21"/>
  </si>
  <si>
    <t xml:space="preserve">注）　上記の６つのカテゴリー以外に，建設工事における廃棄物削減・リサイクル，歴史的建造物の保存など，建物自体の環境性能としてＣＡＳＢＥＥで評価し難い環境配慮の取組みがあれば，ここに記載してください。
</t>
    <rPh sb="18" eb="20">
      <t>ケンセツ</t>
    </rPh>
    <rPh sb="45" eb="47">
      <t>ホゾン</t>
    </rPh>
    <phoneticPr fontId="21"/>
  </si>
  <si>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</si>
  <si>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</si>
  <si>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</si>
  <si>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t xml:space="preserve">注）　「QH1 室内環境を快適・健康・安心にする」に対する配慮事項を簡潔に記載してください。
</t>
    <rPh sb="29" eb="31">
      <t>ハイリョ</t>
    </rPh>
    <rPh sb="31" eb="33">
      <t>ジコウ</t>
    </rPh>
    <phoneticPr fontId="21"/>
  </si>
  <si>
    <t xml:space="preserve">注）　「QH2 長く使い続ける」に対する配慮事項を簡潔に記載してください。
</t>
    <phoneticPr fontId="4"/>
  </si>
  <si>
    <t xml:space="preserve">注）　「QH3 まちなみ・生態系を豊かにする」に対する配慮事項を簡潔に記載してください。
</t>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</si>
  <si>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</si>
  <si>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t xml:space="preserve">注）　「LRH1 エネルギーと水を大切に使う」に対する配慮事項を簡潔に記載してください。
</t>
    <phoneticPr fontId="4"/>
  </si>
  <si>
    <t xml:space="preserve">注）　「LRH2 資源を大切に使いゴミを減らす」に対する配慮事項を簡潔に記載してください。
</t>
    <phoneticPr fontId="4"/>
  </si>
  <si>
    <t xml:space="preserve">注）　「LRH3 地球・地域・周辺環境に配慮する」に対する配慮事項を簡潔に記載してください。
</t>
    <phoneticPr fontId="4"/>
  </si>
  <si>
    <t>省資源に役立つ材料として評価される持続可能な森林から産出された木材のうち，50％以上地域産木材を使用している。</t>
    <phoneticPr fontId="4"/>
  </si>
  <si>
    <t>省資源に役立つ材料として評価される持続可能な森林から産出された木材のうち，50％以上地域産木材を使用している。</t>
    <phoneticPr fontId="4"/>
  </si>
  <si>
    <t>持続可能な森林から産出された木材のうち，50％以上地域産木材を使用している。</t>
    <phoneticPr fontId="4"/>
  </si>
  <si>
    <t>持続可能な森林から産出された木材のうち，50％以上地域産木材を使用している。</t>
    <phoneticPr fontId="4"/>
  </si>
  <si>
    <t>京都市○○区○○</t>
    <rPh sb="0" eb="3">
      <t>キョウトシ</t>
    </rPh>
    <rPh sb="5" eb="6">
      <t>ク</t>
    </rPh>
    <phoneticPr fontId="4"/>
  </si>
  <si>
    <t>　LRH1/　2.2　雨水の利用</t>
    <rPh sb="11" eb="13">
      <t>ウスイ</t>
    </rPh>
    <rPh sb="14" eb="16">
      <t>リヨウ</t>
    </rPh>
    <phoneticPr fontId="4"/>
  </si>
  <si>
    <r>
      <t>CASBEE</t>
    </r>
    <r>
      <rPr>
        <b/>
        <sz val="10"/>
        <rFont val="ＭＳ Ｐゴシック"/>
        <family val="3"/>
        <charset val="128"/>
      </rPr>
      <t>京都</t>
    </r>
    <r>
      <rPr>
        <b/>
        <sz val="10"/>
        <rFont val="Arial"/>
        <family val="2"/>
      </rPr>
      <t xml:space="preserve"> </t>
    </r>
    <r>
      <rPr>
        <b/>
        <sz val="10"/>
        <rFont val="ＭＳ Ｐゴシック"/>
        <family val="3"/>
        <charset val="128"/>
      </rPr>
      <t>戸建</t>
    </r>
    <r>
      <rPr>
        <b/>
        <sz val="10"/>
        <rFont val="Arial"/>
        <family val="2"/>
      </rPr>
      <t>-</t>
    </r>
    <r>
      <rPr>
        <b/>
        <sz val="10"/>
        <rFont val="ＭＳ Ｐゴシック"/>
        <family val="3"/>
        <charset val="128"/>
      </rPr>
      <t>新築</t>
    </r>
    <r>
      <rPr>
        <b/>
        <sz val="10"/>
        <rFont val="Arial"/>
        <family val="2"/>
      </rPr>
      <t>2015(v.1.0)</t>
    </r>
    <phoneticPr fontId="4"/>
  </si>
</sst>
</file>

<file path=xl/styles.xml><?xml version="1.0" encoding="utf-8"?>
<styleSheet xmlns="http://schemas.openxmlformats.org/spreadsheetml/2006/main">
  <numFmts count="35">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quot;/&quot;0"/>
    <numFmt numFmtId="210" formatCode="#&quot;／9項目&quot;"/>
  </numFmts>
  <fonts count="167">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b/>
      <sz val="9"/>
      <color indexed="8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5"/>
      <name val="ＭＳ Ｐゴシック"/>
      <family val="3"/>
      <charset val="128"/>
    </font>
    <font>
      <sz val="50"/>
      <name val="ＭＳ Ｐゴシック"/>
      <family val="3"/>
      <charset val="128"/>
    </font>
    <font>
      <sz val="24"/>
      <name val="ＭＳ Ｐゴシック"/>
      <family val="3"/>
      <charset val="128"/>
    </font>
    <font>
      <b/>
      <sz val="9"/>
      <color indexed="10"/>
      <name val="ＭＳ Ｐゴシック"/>
      <family val="3"/>
      <charset val="128"/>
    </font>
    <font>
      <sz val="6"/>
      <name val="ＭＳ 明朝"/>
      <family val="1"/>
      <charset val="128"/>
    </font>
    <font>
      <b/>
      <sz val="20"/>
      <name val="ＭＳ Ｐゴシック"/>
      <family val="3"/>
      <charset val="128"/>
    </font>
    <font>
      <sz val="14"/>
      <color indexed="9"/>
      <name val="ＭＳ Ｐゴシック"/>
      <family val="3"/>
      <charset val="128"/>
    </font>
    <font>
      <sz val="10"/>
      <color indexed="8"/>
      <name val="ＭＳ Ｐゴシック"/>
      <family val="3"/>
      <charset val="128"/>
    </font>
    <font>
      <sz val="9"/>
      <color rgb="FF000000"/>
      <name val="MS UI Gothic"/>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51"/>
        <bgColor indexed="64"/>
      </patternFill>
    </fill>
    <fill>
      <patternFill patternType="solid">
        <fgColor indexed="44"/>
        <bgColor indexed="64"/>
      </patternFill>
    </fill>
    <fill>
      <patternFill patternType="solid">
        <fgColor theme="0" tint="-0.14999847407452621"/>
        <bgColor indexed="64"/>
      </patternFill>
    </fill>
    <fill>
      <patternFill patternType="solid">
        <fgColor indexed="50"/>
        <bgColor indexed="64"/>
      </patternFill>
    </fill>
    <fill>
      <patternFill patternType="solid">
        <fgColor indexed="46"/>
        <bgColor indexed="64"/>
      </patternFill>
    </fill>
    <fill>
      <patternFill patternType="solid">
        <fgColor indexed="45"/>
        <bgColor indexed="64"/>
      </patternFill>
    </fill>
    <fill>
      <patternFill patternType="solid">
        <fgColor theme="3" tint="0.79998168889431442"/>
        <bgColor indexed="64"/>
      </patternFill>
    </fill>
  </fills>
  <borders count="2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diagonal/>
    </border>
    <border>
      <left style="medium">
        <color indexed="64"/>
      </left>
      <right style="medium">
        <color indexed="64"/>
      </right>
      <top style="thin">
        <color indexed="9"/>
      </top>
      <bottom style="thin">
        <color indexed="64"/>
      </bottom>
      <diagonal/>
    </border>
    <border>
      <left style="medium">
        <color indexed="64"/>
      </left>
      <right style="medium">
        <color indexed="64"/>
      </right>
      <top/>
      <bottom style="thin">
        <color indexed="9"/>
      </bottom>
      <diagonal/>
    </border>
    <border>
      <left style="medium">
        <color indexed="64"/>
      </left>
      <right style="medium">
        <color indexed="64"/>
      </right>
      <top style="thin">
        <color indexed="9"/>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indexed="10"/>
      </left>
      <right style="medium">
        <color indexed="10"/>
      </right>
      <top style="medium">
        <color indexed="64"/>
      </top>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style="medium">
        <color indexed="10"/>
      </right>
      <top style="medium">
        <color indexed="10"/>
      </top>
      <bottom/>
      <diagonal/>
    </border>
    <border>
      <left/>
      <right style="medium">
        <color indexed="10"/>
      </right>
      <top/>
      <bottom/>
      <diagonal/>
    </border>
    <border>
      <left style="medium">
        <color indexed="40"/>
      </left>
      <right style="medium">
        <color indexed="40"/>
      </right>
      <top style="medium">
        <color indexed="40"/>
      </top>
      <bottom style="medium">
        <color indexed="40"/>
      </bottom>
      <diagonal/>
    </border>
    <border>
      <left/>
      <right style="thin">
        <color auto="1"/>
      </right>
      <top style="medium">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1">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30" fillId="12" borderId="0" applyNumberFormat="0" applyBorder="0" applyAlignment="0" applyProtection="0">
      <alignment vertical="center"/>
    </xf>
    <xf numFmtId="0" fontId="130" fillId="9" borderId="0" applyNumberFormat="0" applyBorder="0" applyAlignment="0" applyProtection="0">
      <alignment vertical="center"/>
    </xf>
    <xf numFmtId="0" fontId="130" fillId="10"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9" borderId="0" applyNumberFormat="0" applyBorder="0" applyAlignment="0" applyProtection="0">
      <alignment vertical="center"/>
    </xf>
    <xf numFmtId="0" fontId="136" fillId="0" borderId="0" applyNumberFormat="0" applyFill="0" applyBorder="0" applyAlignment="0" applyProtection="0">
      <alignment vertical="center"/>
    </xf>
    <xf numFmtId="0" fontId="120" fillId="20" borderId="1" applyNumberFormat="0" applyAlignment="0" applyProtection="0">
      <alignment vertical="center"/>
    </xf>
    <xf numFmtId="0" fontId="137"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8" fillId="0" borderId="3" applyNumberFormat="0" applyFill="0" applyAlignment="0" applyProtection="0">
      <alignment vertical="center"/>
    </xf>
    <xf numFmtId="0" fontId="139" fillId="3" borderId="0" applyNumberFormat="0" applyBorder="0" applyAlignment="0" applyProtection="0">
      <alignment vertical="center"/>
    </xf>
    <xf numFmtId="0" fontId="14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1" fillId="0" borderId="5" applyNumberFormat="0" applyFill="0" applyAlignment="0" applyProtection="0">
      <alignment vertical="center"/>
    </xf>
    <xf numFmtId="0" fontId="142" fillId="0" borderId="6" applyNumberFormat="0" applyFill="0" applyAlignment="0" applyProtection="0">
      <alignment vertical="center"/>
    </xf>
    <xf numFmtId="0" fontId="143" fillId="0" borderId="7" applyNumberFormat="0" applyFill="0" applyAlignment="0" applyProtection="0">
      <alignment vertical="center"/>
    </xf>
    <xf numFmtId="0" fontId="143" fillId="0" borderId="0" applyNumberFormat="0" applyFill="0" applyBorder="0" applyAlignment="0" applyProtection="0">
      <alignment vertical="center"/>
    </xf>
    <xf numFmtId="0" fontId="63" fillId="0" borderId="8" applyNumberFormat="0" applyFill="0" applyAlignment="0" applyProtection="0">
      <alignment vertical="center"/>
    </xf>
    <xf numFmtId="0" fontId="144" fillId="23" borderId="9" applyNumberFormat="0" applyAlignment="0" applyProtection="0">
      <alignment vertical="center"/>
    </xf>
    <xf numFmtId="0" fontId="145" fillId="0" borderId="0" applyNumberFormat="0" applyFill="0" applyBorder="0" applyAlignment="0" applyProtection="0">
      <alignment vertical="center"/>
    </xf>
    <xf numFmtId="0" fontId="146" fillId="7" borderId="4" applyNumberFormat="0" applyAlignment="0" applyProtection="0">
      <alignment vertical="center"/>
    </xf>
    <xf numFmtId="0" fontId="2" fillId="0" borderId="0"/>
    <xf numFmtId="0" fontId="37" fillId="0" borderId="0"/>
    <xf numFmtId="0" fontId="147"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6" fillId="0" borderId="0">
      <alignment vertical="center"/>
    </xf>
    <xf numFmtId="0" fontId="13" fillId="0" borderId="0">
      <alignment vertical="center"/>
    </xf>
  </cellStyleXfs>
  <cellXfs count="2705">
    <xf numFmtId="0" fontId="0" fillId="0" borderId="0" xfId="0">
      <alignment vertical="center"/>
    </xf>
    <xf numFmtId="0" fontId="3" fillId="24" borderId="0" xfId="0" applyFont="1" applyFill="1" applyProtection="1">
      <alignment vertical="center"/>
    </xf>
    <xf numFmtId="179" fontId="3" fillId="24" borderId="0" xfId="0" applyNumberFormat="1" applyFont="1" applyFill="1" applyBorder="1" applyAlignment="1" applyProtection="1">
      <alignment horizontal="center" vertical="center"/>
    </xf>
    <xf numFmtId="0" fontId="68" fillId="24"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24" borderId="11" xfId="0" applyFont="1" applyFill="1" applyBorder="1" applyProtection="1">
      <alignment vertical="center"/>
    </xf>
    <xf numFmtId="0" fontId="0" fillId="25" borderId="0" xfId="0" applyFill="1" applyAlignment="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2" fontId="3" fillId="25" borderId="0" xfId="0" applyNumberFormat="1" applyFont="1" applyFill="1" applyBorder="1" applyAlignment="1" applyProtection="1">
      <alignment horizontal="left" vertical="center"/>
    </xf>
    <xf numFmtId="0" fontId="13" fillId="25" borderId="0" xfId="0" applyFont="1" applyFill="1" applyProtection="1">
      <alignment vertical="center"/>
    </xf>
    <xf numFmtId="0" fontId="0" fillId="25" borderId="0" xfId="0" applyFill="1" applyAlignment="1" applyProtection="1"/>
    <xf numFmtId="0" fontId="0" fillId="0" borderId="0" xfId="0" applyFill="1" applyAlignment="1" applyProtection="1"/>
    <xf numFmtId="0" fontId="13" fillId="25" borderId="0" xfId="0" applyFont="1" applyFill="1" applyBorder="1" applyAlignment="1" applyProtection="1">
      <alignment vertical="center"/>
    </xf>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9" fillId="24" borderId="0" xfId="0" applyFont="1" applyFill="1" applyProtection="1">
      <alignment vertical="center"/>
    </xf>
    <xf numFmtId="0" fontId="34" fillId="24" borderId="0" xfId="0" applyFont="1" applyFill="1" applyProtection="1">
      <alignment vertical="center"/>
    </xf>
    <xf numFmtId="0" fontId="39" fillId="0" borderId="0" xfId="0" applyFont="1" applyProtection="1">
      <alignment vertical="center"/>
    </xf>
    <xf numFmtId="0" fontId="6" fillId="25" borderId="0" xfId="0" applyFont="1" applyFill="1" applyAlignment="1" applyProtection="1">
      <alignment vertical="center"/>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3" fillId="24" borderId="0" xfId="0" applyFont="1" applyFill="1" applyAlignment="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0" fontId="3" fillId="24" borderId="0" xfId="0" applyFont="1" applyFill="1" applyAlignment="1" applyProtection="1">
      <alignment vertical="center"/>
    </xf>
    <xf numFmtId="0" fontId="3" fillId="0" borderId="0" xfId="0" applyFont="1" applyAlignment="1" applyProtection="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3"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179" fontId="7" fillId="24" borderId="0" xfId="0" applyNumberFormat="1" applyFont="1" applyFill="1" applyBorder="1" applyAlignment="1" applyProtection="1">
      <alignment horizontal="left" vertical="top"/>
    </xf>
    <xf numFmtId="0" fontId="34" fillId="0" borderId="0" xfId="0" applyFont="1" applyAlignment="1">
      <alignment horizontal="left" vertical="center"/>
    </xf>
    <xf numFmtId="0" fontId="34" fillId="24" borderId="0" xfId="0" applyFont="1" applyFill="1" applyAlignment="1" applyProtection="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64"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24" borderId="0" xfId="0" applyFont="1" applyFill="1" applyAlignment="1" applyProtection="1">
      <alignment vertical="center"/>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42" fillId="24" borderId="0" xfId="0" applyFont="1" applyFill="1" applyAlignment="1" applyProtection="1">
      <alignment horizontal="left" vertical="center"/>
    </xf>
    <xf numFmtId="0" fontId="64" fillId="0" borderId="0" xfId="0" applyFont="1">
      <alignment vertical="center"/>
    </xf>
    <xf numFmtId="0" fontId="10" fillId="24" borderId="0" xfId="0" applyFont="1" applyFill="1" applyProtection="1">
      <alignment vertical="center"/>
    </xf>
    <xf numFmtId="0" fontId="88" fillId="24" borderId="0" xfId="0" applyFont="1" applyFill="1" applyAlignment="1" applyProtection="1">
      <alignment vertical="center"/>
      <protection hidden="1"/>
    </xf>
    <xf numFmtId="179" fontId="3" fillId="24" borderId="0" xfId="0" applyNumberFormat="1" applyFont="1" applyFill="1" applyBorder="1" applyAlignment="1" applyProtection="1">
      <alignment vertical="center"/>
    </xf>
    <xf numFmtId="0" fontId="42" fillId="24" borderId="0" xfId="29" applyFont="1" applyFill="1" applyAlignment="1" applyProtection="1">
      <alignment horizontal="left"/>
      <protection hidden="1"/>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68" fillId="0" borderId="1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right"/>
      <protection hidden="1"/>
    </xf>
    <xf numFmtId="0" fontId="2" fillId="0" borderId="10" xfId="0" applyNumberFormat="1" applyFont="1" applyFill="1" applyBorder="1" applyProtection="1">
      <alignment vertical="center"/>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38" fillId="0" borderId="10" xfId="35" applyNumberFormat="1" applyFont="1" applyFill="1" applyBorder="1" applyAlignment="1" applyProtection="1">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86" fontId="38" fillId="0" borderId="10" xfId="35"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38" fontId="38" fillId="0" borderId="10" xfId="35" applyFont="1" applyFill="1" applyBorder="1" applyAlignment="1" applyProtection="1">
      <protection hidden="1"/>
    </xf>
    <xf numFmtId="0" fontId="3" fillId="25" borderId="42" xfId="0"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38" fontId="68" fillId="0" borderId="10" xfId="0" applyNumberFormat="1" applyFont="1" applyFill="1" applyBorder="1" applyProtection="1">
      <alignment vertical="center"/>
    </xf>
    <xf numFmtId="0" fontId="94"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4"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0" fontId="39" fillId="0" borderId="0" xfId="0" applyFont="1" applyAlignment="1" applyProtection="1">
      <alignment vertical="center"/>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5" fillId="0" borderId="0" xfId="0" applyFont="1" applyFill="1" applyBorder="1" applyProtection="1">
      <alignment vertical="center"/>
      <protection locked="0"/>
    </xf>
    <xf numFmtId="0" fontId="65" fillId="0" borderId="20" xfId="0" applyFont="1" applyFill="1" applyBorder="1" applyProtection="1">
      <alignment vertical="center"/>
      <protection locked="0"/>
    </xf>
    <xf numFmtId="3" fontId="51" fillId="24" borderId="0" xfId="0" applyNumberFormat="1" applyFont="1" applyFill="1" applyBorder="1" applyAlignment="1" applyProtection="1">
      <alignment horizontal="left" vertical="center"/>
      <protection locked="0"/>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100"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0" fontId="42" fillId="0" borderId="0" xfId="0" applyFont="1" applyBorder="1">
      <alignment vertical="center"/>
    </xf>
    <xf numFmtId="178" fontId="10" fillId="0" borderId="0" xfId="0" applyNumberFormat="1" applyFont="1" applyFill="1" applyBorder="1" applyAlignment="1" applyProtection="1">
      <alignment horizontal="center" vertical="center"/>
      <protection hidden="1"/>
    </xf>
    <xf numFmtId="0" fontId="101"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0" fontId="27" fillId="0" borderId="0" xfId="0" applyFont="1" applyFill="1" applyBorder="1" applyAlignment="1">
      <alignment vertical="center"/>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3" fillId="24" borderId="0" xfId="0" applyFont="1" applyFill="1">
      <alignment vertical="center"/>
    </xf>
    <xf numFmtId="0" fontId="3" fillId="0" borderId="0" xfId="0" applyFont="1" applyFill="1">
      <alignment vertical="center"/>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100"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8" fillId="0" borderId="70" xfId="0" applyFont="1" applyBorder="1" applyAlignment="1" applyProtection="1">
      <alignment horizontal="left" vertical="top" wrapText="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0" fontId="68" fillId="24" borderId="0" xfId="0" applyFont="1" applyFill="1" applyAlignment="1" applyProtection="1">
      <alignment vertical="center"/>
    </xf>
    <xf numFmtId="0" fontId="68" fillId="0" borderId="0" xfId="0" applyFont="1" applyFill="1" applyAlignment="1" applyProtection="1">
      <alignment vertical="center"/>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34" fillId="0" borderId="0" xfId="0" applyFont="1" applyAlignment="1">
      <alignment horizontal="right" vertical="center"/>
    </xf>
    <xf numFmtId="0" fontId="42" fillId="24" borderId="0" xfId="0" applyFont="1" applyFill="1" applyAlignment="1" applyProtection="1">
      <alignment horizontal="right" vertical="center"/>
      <protection hidden="1"/>
    </xf>
    <xf numFmtId="0" fontId="42" fillId="0" borderId="0" xfId="0" applyFont="1" applyFill="1" applyAlignment="1" applyProtection="1">
      <alignment horizontal="right" vertical="center"/>
    </xf>
    <xf numFmtId="0" fontId="42" fillId="0" borderId="0" xfId="0" applyFont="1" applyAlignment="1">
      <alignment horizontal="right" vertical="center"/>
    </xf>
    <xf numFmtId="0" fontId="75" fillId="0" borderId="0" xfId="0" applyFont="1" applyFill="1" applyAlignment="1" applyProtection="1">
      <alignment horizontal="right" vertical="center"/>
    </xf>
    <xf numFmtId="0" fontId="42" fillId="24" borderId="0" xfId="0" applyFont="1" applyFill="1" applyAlignment="1" applyProtection="1">
      <alignment horizontal="right" vertical="center"/>
    </xf>
    <xf numFmtId="0" fontId="0" fillId="25" borderId="112" xfId="0" applyFill="1" applyBorder="1" applyAlignment="1">
      <alignment vertical="center" wrapText="1"/>
    </xf>
    <xf numFmtId="0" fontId="0" fillId="25" borderId="48" xfId="0" applyFill="1" applyBorder="1" applyAlignment="1">
      <alignment vertical="center" wrapText="1"/>
    </xf>
    <xf numFmtId="0" fontId="5" fillId="26" borderId="88" xfId="0" applyFont="1" applyFill="1" applyBorder="1" applyAlignment="1" applyProtection="1">
      <alignment horizontal="center" vertical="center"/>
      <protection locked="0" hidden="1"/>
    </xf>
    <xf numFmtId="38" fontId="68" fillId="0" borderId="0" xfId="0" applyNumberFormat="1" applyFont="1" applyFill="1" applyBorder="1" applyProtection="1">
      <alignment vertical="center"/>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Fill="1" applyBorder="1" applyProtection="1">
      <alignment vertical="center"/>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68" fillId="25" borderId="112" xfId="0" applyFont="1" applyFill="1" applyBorder="1" applyAlignment="1">
      <alignment vertical="center"/>
    </xf>
    <xf numFmtId="0" fontId="68" fillId="25" borderId="48" xfId="0" applyFont="1" applyFill="1" applyBorder="1" applyAlignment="1">
      <alignment vertical="center"/>
    </xf>
    <xf numFmtId="0" fontId="68" fillId="25" borderId="114" xfId="0" applyFont="1" applyFill="1" applyBorder="1" applyAlignment="1">
      <alignment vertical="center"/>
    </xf>
    <xf numFmtId="0" fontId="68" fillId="25" borderId="50" xfId="0" applyFont="1" applyFill="1" applyBorder="1" applyAlignment="1">
      <alignment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45" xfId="0" applyFont="1" applyFill="1" applyBorder="1" applyAlignment="1" applyProtection="1">
      <alignment horizontal="left"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27" fillId="0" borderId="0" xfId="0" applyFont="1" applyFill="1" applyBorder="1" applyAlignment="1">
      <alignment horizontal="left" vertical="center"/>
    </xf>
    <xf numFmtId="0" fontId="34" fillId="24" borderId="0" xfId="0" applyFont="1" applyFill="1" applyBorder="1" applyAlignment="1" applyProtection="1">
      <alignment vertical="center"/>
      <protection hidden="1"/>
    </xf>
    <xf numFmtId="0" fontId="68" fillId="25" borderId="112" xfId="0" applyFont="1" applyFill="1" applyBorder="1" applyAlignment="1">
      <alignment horizontal="left" vertical="center"/>
    </xf>
    <xf numFmtId="0" fontId="68" fillId="25" borderId="48" xfId="0" applyFont="1" applyFill="1" applyBorder="1" applyAlignment="1">
      <alignment horizontal="left" vertical="center"/>
    </xf>
    <xf numFmtId="0" fontId="68" fillId="25" borderId="114" xfId="0" applyFont="1" applyFill="1" applyBorder="1" applyAlignment="1">
      <alignment horizontal="left" vertical="center"/>
    </xf>
    <xf numFmtId="0" fontId="3" fillId="0" borderId="0" xfId="0" applyFont="1" applyAlignment="1">
      <alignment vertical="top"/>
    </xf>
    <xf numFmtId="0" fontId="39"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0" fontId="10" fillId="0" borderId="0" xfId="0" applyFont="1" applyAlignment="1" applyProtection="1">
      <alignment vertical="center"/>
    </xf>
    <xf numFmtId="0" fontId="3" fillId="25" borderId="46" xfId="0" applyFont="1" applyFill="1" applyBorder="1" applyAlignment="1" applyProtection="1">
      <alignment horizontal="left" vertical="center"/>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0" fontId="34" fillId="0" borderId="0" xfId="0" applyFont="1">
      <alignment vertical="center"/>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0" fillId="0" borderId="0" xfId="0" applyFont="1" applyAlignment="1" applyProtection="1">
      <alignment vertical="center"/>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0" fontId="3" fillId="0" borderId="0" xfId="0" applyFont="1" applyFill="1" applyAlignment="1" applyProtection="1">
      <alignment vertical="center" wrapText="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10" fillId="26" borderId="0" xfId="0" applyFont="1" applyFill="1" applyAlignment="1">
      <alignment vertical="center"/>
    </xf>
    <xf numFmtId="0" fontId="5" fillId="0" borderId="0" xfId="0" applyFont="1" applyFill="1" applyProtection="1">
      <alignment vertical="center"/>
    </xf>
    <xf numFmtId="0" fontId="10" fillId="26" borderId="51" xfId="0" applyFont="1" applyFill="1" applyBorder="1" applyAlignment="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20"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35" fillId="25" borderId="21" xfId="0" applyFont="1" applyFill="1" applyBorder="1" applyAlignment="1" applyProtection="1">
      <alignment horizontal="center" vertical="top" wrapText="1"/>
      <protection hidden="1"/>
    </xf>
    <xf numFmtId="0" fontId="102"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3" fillId="27" borderId="0" xfId="0" applyNumberFormat="1" applyFont="1" applyFill="1" applyBorder="1" applyAlignment="1" applyProtection="1">
      <alignment horizontal="center" vertical="center"/>
      <protection hidden="1"/>
    </xf>
    <xf numFmtId="0" fontId="104"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5" fillId="25" borderId="0" xfId="0" applyFont="1" applyFill="1" applyBorder="1" applyAlignment="1" applyProtection="1">
      <alignment vertical="center"/>
      <protection hidden="1"/>
    </xf>
    <xf numFmtId="0" fontId="105" fillId="25" borderId="70" xfId="0" applyFont="1" applyFill="1" applyBorder="1" applyAlignment="1" applyProtection="1">
      <alignment vertical="center"/>
      <protection hidden="1"/>
    </xf>
    <xf numFmtId="0" fontId="105" fillId="25" borderId="42" xfId="0" applyFont="1" applyFill="1" applyBorder="1" applyAlignment="1" applyProtection="1">
      <alignment vertical="center"/>
      <protection hidden="1"/>
    </xf>
    <xf numFmtId="0" fontId="106"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3"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65" fillId="0" borderId="0" xfId="0" applyFont="1" applyFill="1" applyBorder="1">
      <alignment vertical="center"/>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7" fillId="27" borderId="0" xfId="0" applyFont="1" applyFill="1" applyBorder="1" applyAlignment="1" applyProtection="1">
      <alignment horizontal="right" vertical="center"/>
      <protection hidden="1"/>
    </xf>
    <xf numFmtId="0" fontId="108" fillId="27" borderId="78" xfId="0" applyFont="1" applyFill="1" applyBorder="1" applyAlignment="1" applyProtection="1">
      <alignment vertical="center"/>
      <protection hidden="1"/>
    </xf>
    <xf numFmtId="0" fontId="13" fillId="0" borderId="10" xfId="0" applyFont="1" applyFill="1" applyBorder="1" applyAlignment="1" applyProtection="1">
      <alignment horizontal="right" vertical="center"/>
      <protection locked="0"/>
    </xf>
    <xf numFmtId="2" fontId="13" fillId="0" borderId="0" xfId="0" applyNumberFormat="1" applyFont="1" applyFill="1" applyBorder="1" applyAlignment="1" applyProtection="1"/>
    <xf numFmtId="0" fontId="105"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2" fillId="0" borderId="10" xfId="0" applyNumberFormat="1" applyFont="1" applyFill="1" applyBorder="1" applyAlignment="1" applyProtection="1">
      <alignment horizontal="left" vertical="center" wrapText="1"/>
      <protection hidden="1"/>
    </xf>
    <xf numFmtId="0" fontId="97" fillId="27" borderId="77" xfId="0" applyFont="1" applyFill="1" applyBorder="1" applyAlignment="1" applyProtection="1">
      <alignment vertical="center"/>
      <protection hidden="1"/>
    </xf>
    <xf numFmtId="0" fontId="110"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0" fontId="5" fillId="26" borderId="132" xfId="0" applyFont="1" applyFill="1" applyBorder="1" applyAlignment="1" applyProtection="1">
      <alignment horizontal="center" vertical="center"/>
      <protection locked="0" hidden="1"/>
    </xf>
    <xf numFmtId="179" fontId="3" fillId="25" borderId="15" xfId="0" applyNumberFormat="1" applyFont="1" applyFill="1" applyBorder="1" applyAlignment="1" applyProtection="1">
      <alignment vertical="center"/>
      <protection hidden="1"/>
    </xf>
    <xf numFmtId="0" fontId="0" fillId="25" borderId="115" xfId="0" applyFill="1" applyBorder="1" applyAlignment="1">
      <alignment horizontal="left" vertical="center" wrapText="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1"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vertical="center" wrapText="1"/>
      <protection hidden="1"/>
    </xf>
    <xf numFmtId="0" fontId="2" fillId="0" borderId="0" xfId="0" applyNumberFormat="1" applyFont="1" applyFill="1" applyBorder="1" applyProtection="1">
      <alignment vertical="center"/>
      <protection hidden="1"/>
    </xf>
    <xf numFmtId="38" fontId="2" fillId="0" borderId="10" xfId="0" applyNumberFormat="1" applyFont="1" applyFill="1" applyBorder="1" applyProtection="1">
      <alignment vertical="center"/>
      <protection hidden="1"/>
    </xf>
    <xf numFmtId="38" fontId="2" fillId="0" borderId="10" xfId="35" applyFont="1" applyFill="1" applyBorder="1" applyProtection="1">
      <alignment vertical="center"/>
      <protection hidden="1"/>
    </xf>
    <xf numFmtId="0" fontId="2" fillId="0" borderId="10" xfId="0" applyNumberFormat="1" applyFont="1" applyFill="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NumberFormat="1" applyFont="1" applyFill="1" applyBorder="1" applyAlignment="1" applyProtection="1">
      <alignment horizontal="lef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5" fillId="26" borderId="134"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0" fontId="68" fillId="25" borderId="112" xfId="0" applyFont="1" applyFill="1" applyBorder="1" applyAlignment="1">
      <alignment vertical="center" wrapText="1"/>
    </xf>
    <xf numFmtId="0" fontId="68" fillId="25" borderId="48" xfId="0" applyFont="1" applyFill="1" applyBorder="1" applyAlignment="1">
      <alignment vertical="center" wrapText="1"/>
    </xf>
    <xf numFmtId="0" fontId="68" fillId="25" borderId="114" xfId="0" applyFont="1" applyFill="1" applyBorder="1" applyAlignment="1">
      <alignment vertical="center" wrapText="1"/>
    </xf>
    <xf numFmtId="0" fontId="68" fillId="25" borderId="50" xfId="0" applyFont="1" applyFill="1" applyBorder="1" applyAlignment="1">
      <alignment vertical="center" wrapText="1"/>
    </xf>
    <xf numFmtId="179" fontId="3" fillId="25" borderId="49" xfId="0" applyNumberFormat="1" applyFont="1" applyFill="1" applyBorder="1" applyAlignment="1" applyProtection="1">
      <alignment vertical="center"/>
      <protection hidden="1"/>
    </xf>
    <xf numFmtId="0" fontId="0" fillId="25" borderId="18" xfId="0" applyFill="1" applyBorder="1" applyAlignment="1">
      <alignment vertical="center"/>
    </xf>
    <xf numFmtId="0" fontId="0" fillId="25" borderId="46" xfId="0" applyFill="1" applyBorder="1" applyAlignment="1">
      <alignment vertical="center"/>
    </xf>
    <xf numFmtId="0" fontId="10" fillId="25" borderId="51" xfId="0" applyFont="1" applyFill="1" applyBorder="1" applyProtection="1">
      <alignment vertical="center"/>
    </xf>
    <xf numFmtId="0" fontId="3" fillId="25" borderId="51" xfId="0" applyFont="1" applyFill="1" applyBorder="1" applyAlignment="1" applyProtection="1">
      <alignment vertical="center"/>
    </xf>
    <xf numFmtId="0" fontId="68" fillId="25" borderId="18" xfId="0" applyFont="1" applyFill="1" applyBorder="1" applyAlignment="1">
      <alignment vertical="center" wrapText="1"/>
    </xf>
    <xf numFmtId="0" fontId="68" fillId="25" borderId="46" xfId="0" applyFont="1" applyFill="1" applyBorder="1" applyAlignment="1">
      <alignment vertical="center" wrapText="1"/>
    </xf>
    <xf numFmtId="0" fontId="0" fillId="25" borderId="18" xfId="0" applyFill="1" applyBorder="1" applyAlignment="1">
      <alignment vertical="center" wrapText="1"/>
    </xf>
    <xf numFmtId="0" fontId="0" fillId="25" borderId="46" xfId="0" applyFill="1" applyBorder="1" applyAlignment="1">
      <alignment vertical="center" wrapText="1"/>
    </xf>
    <xf numFmtId="0" fontId="0" fillId="25" borderId="114" xfId="0" applyFill="1" applyBorder="1" applyAlignment="1">
      <alignment vertical="center" wrapText="1"/>
    </xf>
    <xf numFmtId="0" fontId="0" fillId="25" borderId="50" xfId="0" applyFill="1" applyBorder="1" applyAlignment="1">
      <alignment vertical="center" wrapText="1"/>
    </xf>
    <xf numFmtId="0" fontId="3" fillId="25" borderId="50" xfId="0" applyFont="1" applyFill="1" applyBorder="1" applyAlignment="1" applyProtection="1">
      <alignment vertical="center"/>
      <protection hidden="1"/>
    </xf>
    <xf numFmtId="0" fontId="0" fillId="25" borderId="112" xfId="0" applyFill="1" applyBorder="1" applyAlignment="1">
      <alignment vertical="center"/>
    </xf>
    <xf numFmtId="0" fontId="0" fillId="25" borderId="48" xfId="0" applyFill="1" applyBorder="1" applyAlignment="1">
      <alignment vertical="center"/>
    </xf>
    <xf numFmtId="0" fontId="0" fillId="25" borderId="114" xfId="0" applyFill="1" applyBorder="1" applyAlignment="1">
      <alignment vertical="center"/>
    </xf>
    <xf numFmtId="0" fontId="0" fillId="25" borderId="50" xfId="0" applyFill="1" applyBorder="1" applyAlignment="1">
      <alignment vertical="center"/>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0" fontId="3" fillId="25" borderId="72" xfId="0" applyFont="1" applyFill="1" applyBorder="1" applyAlignment="1">
      <alignment vertical="top"/>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38" xfId="0" applyFont="1" applyFill="1" applyBorder="1" applyAlignment="1" applyProtection="1">
      <alignment vertical="center"/>
      <protection hidden="1"/>
    </xf>
    <xf numFmtId="0" fontId="0" fillId="25" borderId="118" xfId="0" applyFill="1" applyBorder="1" applyAlignment="1">
      <alignment vertical="center" wrapText="1"/>
    </xf>
    <xf numFmtId="0" fontId="0" fillId="25" borderId="139" xfId="0" applyFill="1" applyBorder="1" applyAlignment="1">
      <alignment vertical="center" wrapText="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2" fillId="0" borderId="10" xfId="0" applyNumberFormat="1" applyFont="1" applyFill="1" applyBorder="1" applyAlignment="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13" fillId="25" borderId="0" xfId="0" applyFont="1" applyFill="1" applyBorder="1" applyProtection="1">
      <alignment vertical="center"/>
    </xf>
    <xf numFmtId="0" fontId="79"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vertical="top"/>
      <protection hidden="1"/>
    </xf>
    <xf numFmtId="0" fontId="20" fillId="24" borderId="10" xfId="0" applyFont="1" applyFill="1" applyBorder="1" applyAlignment="1" applyProtection="1">
      <alignment horizontal="center" vertical="center"/>
      <protection locked="0"/>
    </xf>
    <xf numFmtId="0" fontId="13" fillId="0" borderId="107" xfId="0" applyFont="1" applyFill="1" applyBorder="1" applyAlignment="1" applyProtection="1">
      <alignment horizontal="right" vertical="center"/>
      <protection locked="0"/>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19" fillId="25" borderId="0" xfId="0" applyFont="1" applyFill="1" applyBorder="1" applyAlignment="1" applyProtection="1">
      <alignment horizontal="left" vertical="center"/>
    </xf>
    <xf numFmtId="0" fontId="3" fillId="25" borderId="0" xfId="0" applyFont="1" applyFill="1" applyBorder="1" applyProtection="1">
      <alignment vertical="center"/>
    </xf>
    <xf numFmtId="186" fontId="64" fillId="0" borderId="0" xfId="35"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0" fillId="30" borderId="10" xfId="0" applyFont="1" applyFill="1" applyBorder="1" applyAlignment="1" applyProtection="1">
      <alignment vertical="center"/>
      <protection locked="0"/>
    </xf>
    <xf numFmtId="0" fontId="115"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17" fillId="0" borderId="10" xfId="0" applyFont="1" applyFill="1" applyBorder="1" applyProtection="1">
      <alignment vertical="center"/>
      <protection hidden="1"/>
    </xf>
    <xf numFmtId="0" fontId="38"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186" fontId="64" fillId="0" borderId="10" xfId="35" applyNumberFormat="1" applyFont="1" applyFill="1" applyBorder="1" applyAlignment="1" applyProtection="1">
      <alignment horizontal="center" vertical="center"/>
      <protection hidden="1"/>
    </xf>
    <xf numFmtId="0" fontId="116" fillId="0" borderId="10" xfId="0" applyFont="1" applyFill="1" applyBorder="1" applyProtection="1">
      <alignment vertical="center"/>
      <protection hidden="1"/>
    </xf>
    <xf numFmtId="9" fontId="65" fillId="0" borderId="10" xfId="0" applyNumberFormat="1"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186" fontId="6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horizontal="left"/>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20"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20" fillId="35" borderId="77" xfId="0" applyFont="1" applyFill="1" applyBorder="1" applyAlignment="1" applyProtection="1">
      <alignment vertical="center"/>
      <protection hidden="1"/>
    </xf>
    <xf numFmtId="0" fontId="121"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121" fillId="35" borderId="11" xfId="0" applyFont="1" applyFill="1" applyBorder="1">
      <alignment vertical="center"/>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121" fillId="35" borderId="69" xfId="0" applyFont="1" applyFill="1" applyBorder="1">
      <alignment vertical="center"/>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121" fillId="35" borderId="77" xfId="0" applyFont="1" applyFill="1" applyBorder="1">
      <alignment vertical="center"/>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121" fillId="35" borderId="0" xfId="0" applyFont="1" applyFill="1" applyBorder="1">
      <alignment vertical="center"/>
    </xf>
    <xf numFmtId="0" fontId="121" fillId="35" borderId="70" xfId="0" applyFont="1" applyFill="1" applyBorder="1">
      <alignment vertical="center"/>
    </xf>
    <xf numFmtId="0" fontId="52" fillId="35" borderId="73" xfId="0" applyFont="1" applyFill="1" applyBorder="1" applyAlignment="1" applyProtection="1">
      <alignment horizontal="right" vertical="center"/>
      <protection hidden="1"/>
    </xf>
    <xf numFmtId="0" fontId="122"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0" fillId="25" borderId="0" xfId="0" applyFont="1" applyFill="1" applyBorder="1" applyAlignment="1">
      <alignment horizontal="left" vertical="center"/>
    </xf>
    <xf numFmtId="0" fontId="123" fillId="29" borderId="0" xfId="0" applyFont="1" applyFill="1" applyBorder="1" applyAlignment="1" applyProtection="1">
      <alignment horizontal="centerContinuous" vertical="center"/>
      <protection hidden="1"/>
    </xf>
    <xf numFmtId="0" fontId="124"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top"/>
      <protection hidden="1"/>
    </xf>
    <xf numFmtId="0" fontId="20" fillId="24" borderId="158" xfId="0" applyFont="1" applyFill="1" applyBorder="1" applyAlignment="1" applyProtection="1">
      <alignment horizontal="center" vertical="center"/>
      <protection locked="0"/>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4"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199" fontId="13" fillId="0" borderId="0" xfId="44" applyNumberFormat="1" applyFont="1" applyFill="1" applyBorder="1" applyAlignment="1">
      <alignment vertical="center"/>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3" fillId="37" borderId="0" xfId="44" applyFont="1" applyFill="1" applyBorder="1" applyAlignment="1">
      <alignment vertical="center"/>
    </xf>
    <xf numFmtId="0" fontId="68" fillId="0" borderId="0" xfId="44" applyFont="1" applyFill="1" applyBorder="1" applyAlignment="1">
      <alignment vertical="center"/>
    </xf>
    <xf numFmtId="0" fontId="114"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10" fillId="0" borderId="0" xfId="0" applyFont="1" applyFill="1" applyProtection="1">
      <alignment vertical="center"/>
    </xf>
    <xf numFmtId="0" fontId="0" fillId="0" borderId="10" xfId="0" applyBorder="1">
      <alignment vertical="center"/>
    </xf>
    <xf numFmtId="0" fontId="5" fillId="0" borderId="10" xfId="0" applyFont="1" applyBorder="1">
      <alignment vertical="center"/>
    </xf>
    <xf numFmtId="0" fontId="3"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3" fillId="25" borderId="118" xfId="0" applyFont="1" applyFill="1" applyBorder="1" applyAlignment="1" applyProtection="1">
      <alignment horizontal="left" vertical="center"/>
      <protection hidden="1"/>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0" fontId="42" fillId="0" borderId="0" xfId="0" applyFont="1" applyFill="1" applyBorder="1" applyAlignment="1">
      <alignment horizontal="left" vertical="center"/>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191" fontId="10" fillId="25" borderId="21" xfId="0" applyNumberFormat="1" applyFont="1" applyFill="1" applyBorder="1" applyAlignment="1" applyProtection="1">
      <alignment horizontal="center" vertical="center" wrapText="1"/>
      <protection hidden="1"/>
    </xf>
    <xf numFmtId="0" fontId="3" fillId="25" borderId="165" xfId="0" applyFont="1" applyFill="1" applyBorder="1" applyAlignment="1" applyProtection="1">
      <alignment horizontal="left" vertical="center"/>
      <protection hidden="1"/>
    </xf>
    <xf numFmtId="191" fontId="10" fillId="25" borderId="42" xfId="0" applyNumberFormat="1" applyFont="1" applyFill="1" applyBorder="1" applyAlignment="1" applyProtection="1">
      <alignment horizontal="center" vertical="center"/>
      <protection hidden="1"/>
    </xf>
    <xf numFmtId="0" fontId="10" fillId="24" borderId="0" xfId="0" applyFont="1" applyFill="1" applyAlignment="1" applyProtection="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3" fillId="26" borderId="10" xfId="0" applyFont="1" applyFill="1" applyBorder="1" applyProtection="1">
      <alignment vertical="center"/>
    </xf>
    <xf numFmtId="0" fontId="3" fillId="26" borderId="10" xfId="0" applyFont="1" applyFill="1" applyBorder="1" applyAlignment="1" applyProtection="1">
      <alignment horizontal="center" vertical="center"/>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6" fillId="24" borderId="0" xfId="0" applyFont="1" applyFill="1" applyAlignment="1" applyProtection="1">
      <alignment horizontal="right" vertical="center"/>
      <protection hidden="1"/>
    </xf>
    <xf numFmtId="0" fontId="126"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36" fillId="0" borderId="0" xfId="44" applyFont="1" applyBorder="1" applyAlignment="1"/>
    <xf numFmtId="201" fontId="10" fillId="26" borderId="87"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0" borderId="0" xfId="0" applyFont="1" applyFill="1" applyBorder="1" applyAlignment="1">
      <alignment vertical="center"/>
    </xf>
    <xf numFmtId="0" fontId="42" fillId="24" borderId="0" xfId="0" applyFont="1" applyFill="1" applyProtection="1">
      <alignment vertical="center"/>
      <protection hidden="1"/>
    </xf>
    <xf numFmtId="0" fontId="42" fillId="0" borderId="0" xfId="0" applyFont="1" applyAlignment="1">
      <alignment horizontal="left" vertical="center"/>
    </xf>
    <xf numFmtId="0" fontId="42" fillId="0" borderId="0" xfId="0" applyFont="1" applyFill="1" applyBorder="1" applyAlignment="1" applyProtection="1">
      <alignment vertical="center"/>
    </xf>
    <xf numFmtId="0" fontId="42" fillId="0" borderId="0" xfId="0" applyFont="1" applyBorder="1" applyAlignment="1">
      <alignment horizontal="left" vertical="center"/>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27" fillId="0" borderId="0" xfId="0" applyFont="1" applyFill="1" applyProtection="1">
      <alignment vertical="center"/>
    </xf>
    <xf numFmtId="38" fontId="3" fillId="0" borderId="0" xfId="0" applyNumberFormat="1" applyFont="1" applyFill="1" applyBorder="1" applyProtection="1">
      <alignment vertical="center"/>
    </xf>
    <xf numFmtId="3" fontId="13" fillId="0" borderId="118" xfId="0" applyNumberFormat="1" applyFont="1" applyFill="1" applyBorder="1" applyAlignment="1" applyProtection="1">
      <alignment horizontal="left" vertical="center"/>
      <protection hidden="1"/>
    </xf>
    <xf numFmtId="3" fontId="13" fillId="0" borderId="166" xfId="0" applyNumberFormat="1"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3" fontId="3" fillId="0" borderId="167" xfId="0" applyNumberFormat="1" applyFont="1" applyFill="1" applyBorder="1" applyAlignment="1" applyProtection="1">
      <alignment horizontal="left" vertical="center"/>
      <protection hidden="1"/>
    </xf>
    <xf numFmtId="0" fontId="128"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8" fillId="28" borderId="79" xfId="0" applyNumberFormat="1" applyFont="1" applyFill="1" applyBorder="1" applyAlignment="1" applyProtection="1">
      <alignment vertical="center"/>
      <protection hidden="1"/>
    </xf>
    <xf numFmtId="0" fontId="129" fillId="28" borderId="80"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0" fontId="130" fillId="31" borderId="79" xfId="0" applyFont="1" applyFill="1" applyBorder="1" applyAlignment="1" applyProtection="1">
      <alignment horizontal="center" vertical="center"/>
    </xf>
    <xf numFmtId="0" fontId="130" fillId="31" borderId="79" xfId="0" applyFont="1" applyFill="1" applyBorder="1" applyAlignment="1" applyProtection="1">
      <alignment vertic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177" fontId="3" fillId="25" borderId="10" xfId="0" applyNumberFormat="1" applyFont="1" applyFill="1" applyBorder="1" applyProtection="1">
      <alignment vertical="center"/>
    </xf>
    <xf numFmtId="177" fontId="3" fillId="25" borderId="51" xfId="0" applyNumberFormat="1" applyFont="1" applyFill="1" applyBorder="1" applyProtection="1">
      <alignment vertical="center"/>
    </xf>
    <xf numFmtId="9" fontId="3" fillId="25" borderId="10" xfId="0" applyNumberFormat="1" applyFont="1" applyFill="1" applyBorder="1" applyAlignment="1" applyProtection="1">
      <alignment vertical="center"/>
    </xf>
    <xf numFmtId="9" fontId="10" fillId="25" borderId="10" xfId="28" applyFont="1" applyFill="1" applyBorder="1" applyAlignment="1" applyProtection="1">
      <alignment vertical="center"/>
    </xf>
    <xf numFmtId="176" fontId="27" fillId="25" borderId="44" xfId="0" applyNumberFormat="1" applyFont="1" applyFill="1" applyBorder="1" applyAlignment="1" applyProtection="1">
      <alignmen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0" fontId="8" fillId="0" borderId="0" xfId="0" applyFont="1" applyFill="1" applyAlignment="1" applyProtection="1">
      <alignment horizontal="left"/>
    </xf>
    <xf numFmtId="180" fontId="7" fillId="0" borderId="0" xfId="0" applyNumberFormat="1" applyFont="1" applyFill="1" applyAlignment="1" applyProtection="1">
      <alignment horizontal="left"/>
    </xf>
    <xf numFmtId="183" fontId="13" fillId="0" borderId="0" xfId="0" applyNumberFormat="1" applyFont="1" applyFill="1" applyProtection="1">
      <alignment vertical="center"/>
    </xf>
    <xf numFmtId="184" fontId="13" fillId="0" borderId="0" xfId="0" applyNumberFormat="1" applyFont="1" applyFill="1" applyProtection="1">
      <alignment vertical="center"/>
    </xf>
    <xf numFmtId="0" fontId="128" fillId="28" borderId="78" xfId="0" applyNumberFormat="1" applyFont="1" applyFill="1" applyBorder="1" applyAlignment="1" applyProtection="1">
      <alignment vertical="center"/>
    </xf>
    <xf numFmtId="0" fontId="16" fillId="28" borderId="79" xfId="0" applyFont="1" applyFill="1" applyBorder="1" applyAlignment="1" applyProtection="1">
      <alignment horizontal="left" vertical="center"/>
    </xf>
    <xf numFmtId="0" fontId="16" fillId="28" borderId="79" xfId="0" applyFont="1" applyFill="1" applyBorder="1" applyAlignment="1" applyProtection="1">
      <alignment vertical="center"/>
    </xf>
    <xf numFmtId="0" fontId="128" fillId="28" borderId="79" xfId="0" applyNumberFormat="1" applyFont="1" applyFill="1" applyBorder="1" applyAlignment="1" applyProtection="1">
      <alignment vertical="center"/>
    </xf>
    <xf numFmtId="0" fontId="129" fillId="28" borderId="80" xfId="0" applyFont="1" applyFill="1" applyBorder="1" applyAlignment="1" applyProtection="1">
      <alignment vertical="center"/>
    </xf>
    <xf numFmtId="0" fontId="3" fillId="0" borderId="0" xfId="0" applyFont="1" applyFill="1" applyBorder="1" applyAlignment="1" applyProtection="1">
      <alignment horizontal="left" vertical="center"/>
    </xf>
    <xf numFmtId="0" fontId="66" fillId="24"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184" fontId="3" fillId="24" borderId="0" xfId="0" applyNumberFormat="1" applyFont="1" applyFill="1" applyBorder="1" applyProtection="1">
      <alignment vertical="center"/>
    </xf>
    <xf numFmtId="0" fontId="13" fillId="0" borderId="0" xfId="44" applyFont="1" applyFill="1" applyBorder="1" applyAlignment="1" applyProtection="1">
      <alignment vertical="center"/>
    </xf>
    <xf numFmtId="0" fontId="68" fillId="0" borderId="0" xfId="44" applyFont="1" applyFill="1" applyBorder="1" applyAlignment="1" applyProtection="1">
      <alignment vertical="center"/>
    </xf>
    <xf numFmtId="0" fontId="13" fillId="0" borderId="0" xfId="44" applyFont="1" applyFill="1" applyBorder="1" applyAlignment="1" applyProtection="1">
      <alignment horizontal="left" vertical="center"/>
    </xf>
    <xf numFmtId="180" fontId="13" fillId="0" borderId="0" xfId="44" applyNumberFormat="1" applyFont="1" applyFill="1" applyBorder="1" applyAlignment="1" applyProtection="1">
      <alignment horizontal="left" vertical="center"/>
    </xf>
    <xf numFmtId="0" fontId="15" fillId="31" borderId="79" xfId="44" applyFont="1" applyFill="1" applyBorder="1" applyAlignment="1" applyProtection="1">
      <alignment vertical="center"/>
    </xf>
    <xf numFmtId="0" fontId="15" fillId="31" borderId="79" xfId="44" applyFont="1" applyFill="1" applyBorder="1" applyAlignment="1" applyProtection="1">
      <alignment horizontal="left" vertical="center"/>
    </xf>
    <xf numFmtId="0" fontId="15" fillId="31" borderId="79" xfId="44" applyNumberFormat="1" applyFont="1" applyFill="1" applyBorder="1" applyAlignment="1" applyProtection="1">
      <alignment vertical="center"/>
    </xf>
    <xf numFmtId="0" fontId="130" fillId="31" borderId="79" xfId="44" applyNumberFormat="1" applyFont="1" applyFill="1" applyBorder="1" applyAlignment="1" applyProtection="1">
      <alignment vertical="center"/>
    </xf>
    <xf numFmtId="0" fontId="16" fillId="31" borderId="79" xfId="0" applyFont="1" applyFill="1" applyBorder="1" applyAlignment="1" applyProtection="1">
      <alignment vertical="center"/>
    </xf>
    <xf numFmtId="0" fontId="15" fillId="31" borderId="80" xfId="44" applyFont="1" applyFill="1" applyBorder="1" applyAlignment="1" applyProtection="1">
      <alignment vertical="center"/>
    </xf>
    <xf numFmtId="0" fontId="51" fillId="25" borderId="0" xfId="44" applyNumberFormat="1" applyFont="1" applyFill="1" applyBorder="1" applyAlignment="1" applyProtection="1">
      <alignment vertical="center"/>
    </xf>
    <xf numFmtId="0" fontId="13" fillId="25" borderId="0" xfId="44" applyFont="1" applyFill="1" applyBorder="1" applyAlignment="1" applyProtection="1">
      <alignment horizontal="left" vertical="center"/>
    </xf>
    <xf numFmtId="0" fontId="13" fillId="25" borderId="0" xfId="44" applyFont="1" applyFill="1" applyBorder="1" applyAlignment="1" applyProtection="1">
      <alignment vertical="center"/>
    </xf>
    <xf numFmtId="0" fontId="99" fillId="25" borderId="0" xfId="44" applyFont="1" applyFill="1" applyBorder="1" applyAlignment="1" applyProtection="1">
      <alignment vertical="center"/>
    </xf>
    <xf numFmtId="0" fontId="15" fillId="25" borderId="0" xfId="44" applyFont="1" applyFill="1" applyBorder="1" applyAlignment="1" applyProtection="1">
      <alignment vertical="center"/>
    </xf>
    <xf numFmtId="0" fontId="51" fillId="25" borderId="0" xfId="44" applyFont="1" applyFill="1" applyBorder="1" applyAlignment="1" applyProtection="1">
      <alignment vertical="center"/>
    </xf>
    <xf numFmtId="0" fontId="51" fillId="25" borderId="0" xfId="44" applyFont="1" applyFill="1" applyBorder="1" applyAlignment="1" applyProtection="1">
      <alignment horizontal="left" vertical="center"/>
    </xf>
    <xf numFmtId="180" fontId="13" fillId="25" borderId="0" xfId="44" applyNumberFormat="1" applyFont="1" applyFill="1" applyBorder="1" applyAlignment="1" applyProtection="1">
      <alignment horizontal="center" vertical="center"/>
    </xf>
    <xf numFmtId="0" fontId="34" fillId="25" borderId="0" xfId="44" applyFont="1" applyFill="1" applyBorder="1" applyAlignment="1" applyProtection="1">
      <alignment vertical="center"/>
    </xf>
    <xf numFmtId="0" fontId="13" fillId="25" borderId="0" xfId="44" applyFont="1" applyFill="1" applyBorder="1" applyAlignment="1" applyProtection="1">
      <alignment horizontal="center" vertical="center"/>
    </xf>
    <xf numFmtId="0" fontId="13" fillId="26" borderId="10" xfId="44" applyFont="1" applyFill="1" applyBorder="1" applyAlignment="1" applyProtection="1">
      <alignment horizontal="center" vertical="center"/>
    </xf>
    <xf numFmtId="0" fontId="13" fillId="26" borderId="51" xfId="44" applyFont="1" applyFill="1" applyBorder="1" applyAlignment="1" applyProtection="1">
      <alignment horizontal="center" vertical="center"/>
    </xf>
    <xf numFmtId="0" fontId="13" fillId="26" borderId="168" xfId="44" applyFont="1" applyFill="1" applyBorder="1" applyAlignment="1" applyProtection="1">
      <alignment horizontal="center" vertical="center"/>
    </xf>
    <xf numFmtId="0" fontId="13" fillId="25" borderId="69" xfId="44" applyFont="1" applyFill="1" applyBorder="1" applyAlignment="1" applyProtection="1">
      <alignment vertical="center"/>
    </xf>
    <xf numFmtId="9" fontId="13" fillId="25" borderId="10" xfId="44" applyNumberFormat="1" applyFont="1" applyFill="1" applyBorder="1" applyAlignment="1" applyProtection="1">
      <alignment horizontal="right" vertical="center"/>
    </xf>
    <xf numFmtId="176" fontId="13" fillId="25" borderId="123" xfId="44" applyNumberFormat="1" applyFont="1" applyFill="1" applyBorder="1" applyAlignment="1" applyProtection="1">
      <alignment horizontal="center" vertical="center"/>
    </xf>
    <xf numFmtId="176" fontId="13" fillId="25" borderId="0" xfId="44" applyNumberFormat="1" applyFont="1" applyFill="1" applyBorder="1" applyAlignment="1" applyProtection="1">
      <alignment horizontal="center" vertical="center"/>
    </xf>
    <xf numFmtId="0" fontId="13" fillId="25" borderId="11" xfId="44" applyFont="1" applyFill="1" applyBorder="1" applyAlignment="1" applyProtection="1">
      <alignment vertical="center"/>
    </xf>
    <xf numFmtId="0" fontId="13" fillId="25" borderId="72" xfId="44" applyFont="1" applyFill="1" applyBorder="1" applyAlignment="1" applyProtection="1">
      <alignment vertical="center"/>
    </xf>
    <xf numFmtId="0" fontId="68" fillId="25" borderId="0" xfId="44" applyFont="1" applyFill="1" applyBorder="1" applyAlignment="1" applyProtection="1">
      <alignment vertical="center"/>
    </xf>
    <xf numFmtId="176" fontId="13" fillId="25" borderId="169" xfId="44" applyNumberFormat="1" applyFont="1" applyFill="1" applyBorder="1" applyAlignment="1" applyProtection="1">
      <alignment horizontal="center" vertical="center"/>
    </xf>
    <xf numFmtId="0" fontId="2" fillId="25" borderId="0" xfId="44" applyFont="1" applyFill="1" applyBorder="1" applyAlignment="1" applyProtection="1">
      <alignment vertical="center"/>
    </xf>
    <xf numFmtId="0" fontId="13" fillId="25" borderId="0" xfId="44" applyFont="1" applyFill="1" applyBorder="1" applyAlignment="1" applyProtection="1">
      <alignment horizontal="right" vertical="center"/>
    </xf>
    <xf numFmtId="0" fontId="13" fillId="25" borderId="42" xfId="44" applyFont="1" applyFill="1" applyBorder="1" applyAlignment="1" applyProtection="1">
      <alignment vertical="center"/>
    </xf>
    <xf numFmtId="0" fontId="68" fillId="25" borderId="17" xfId="44" applyFont="1" applyFill="1" applyBorder="1" applyAlignment="1" applyProtection="1">
      <alignment vertical="center"/>
    </xf>
    <xf numFmtId="177" fontId="2" fillId="25" borderId="168" xfId="44" applyNumberFormat="1" applyFont="1" applyFill="1" applyBorder="1" applyAlignment="1" applyProtection="1">
      <alignment vertical="center"/>
    </xf>
    <xf numFmtId="180" fontId="13" fillId="25" borderId="0" xfId="44" applyNumberFormat="1" applyFont="1" applyFill="1" applyBorder="1" applyAlignment="1" applyProtection="1">
      <alignment horizontal="left" vertical="center"/>
    </xf>
    <xf numFmtId="40" fontId="2" fillId="25" borderId="168" xfId="35" applyNumberFormat="1" applyFont="1" applyFill="1" applyBorder="1" applyAlignment="1" applyProtection="1">
      <alignment vertical="center"/>
    </xf>
    <xf numFmtId="199" fontId="13" fillId="0"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70" xfId="44" applyFont="1" applyFill="1" applyBorder="1" applyAlignment="1" applyProtection="1">
      <alignment horizontal="left" vertical="center"/>
    </xf>
    <xf numFmtId="0" fontId="13" fillId="25" borderId="70" xfId="44" applyFont="1" applyFill="1" applyBorder="1" applyAlignment="1" applyProtection="1">
      <alignment vertical="center"/>
    </xf>
    <xf numFmtId="0" fontId="13" fillId="25" borderId="69" xfId="44" applyFont="1" applyFill="1" applyBorder="1" applyAlignment="1" applyProtection="1">
      <alignment horizontal="left" vertical="center"/>
    </xf>
    <xf numFmtId="0" fontId="13" fillId="25" borderId="97" xfId="44" applyFont="1" applyFill="1" applyBorder="1" applyAlignment="1" applyProtection="1">
      <alignment horizontal="right" vertical="center"/>
    </xf>
    <xf numFmtId="0" fontId="68" fillId="25" borderId="10" xfId="44" applyFont="1" applyFill="1" applyBorder="1" applyAlignment="1" applyProtection="1">
      <alignment vertical="center"/>
    </xf>
    <xf numFmtId="177" fontId="68" fillId="25" borderId="10" xfId="44" applyNumberFormat="1" applyFont="1" applyFill="1" applyBorder="1" applyAlignment="1" applyProtection="1">
      <alignment vertical="center"/>
    </xf>
    <xf numFmtId="176" fontId="13" fillId="25" borderId="10" xfId="44" applyNumberFormat="1" applyFont="1" applyFill="1" applyBorder="1" applyAlignment="1" applyProtection="1">
      <alignment horizontal="center" vertical="center"/>
    </xf>
    <xf numFmtId="0" fontId="13" fillId="25" borderId="11" xfId="44" applyFont="1" applyFill="1" applyBorder="1" applyAlignment="1" applyProtection="1">
      <alignment horizontal="left" vertical="center"/>
    </xf>
    <xf numFmtId="0" fontId="13" fillId="25" borderId="16" xfId="44" applyFont="1" applyFill="1" applyBorder="1" applyAlignment="1" applyProtection="1">
      <alignment horizontal="right" vertical="center"/>
    </xf>
    <xf numFmtId="0" fontId="13" fillId="25" borderId="72" xfId="44" applyFont="1" applyFill="1" applyBorder="1" applyAlignment="1" applyProtection="1">
      <alignment horizontal="left" vertical="center"/>
    </xf>
    <xf numFmtId="0" fontId="13" fillId="25" borderId="21" xfId="44" applyFont="1" applyFill="1" applyBorder="1" applyAlignment="1" applyProtection="1">
      <alignment vertical="center"/>
    </xf>
    <xf numFmtId="0" fontId="13" fillId="25" borderId="54" xfId="44" applyFont="1" applyFill="1" applyBorder="1" applyAlignment="1" applyProtection="1">
      <alignment horizontal="right" vertical="center"/>
    </xf>
    <xf numFmtId="0" fontId="13" fillId="25" borderId="51" xfId="44" applyFont="1" applyFill="1" applyBorder="1" applyAlignment="1" applyProtection="1">
      <alignment horizontal="left" vertical="center"/>
    </xf>
    <xf numFmtId="0" fontId="68" fillId="25" borderId="97" xfId="44" applyFont="1" applyFill="1" applyBorder="1" applyAlignment="1" applyProtection="1">
      <alignment vertical="center"/>
    </xf>
    <xf numFmtId="176" fontId="68"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horizontal="left" vertical="center"/>
    </xf>
    <xf numFmtId="178" fontId="2" fillId="25" borderId="44" xfId="44" applyNumberFormat="1" applyFont="1" applyFill="1" applyBorder="1" applyAlignment="1" applyProtection="1">
      <alignment horizontal="right" vertical="center"/>
    </xf>
    <xf numFmtId="178" fontId="13" fillId="25" borderId="0" xfId="44" applyNumberFormat="1" applyFont="1" applyFill="1" applyBorder="1" applyAlignment="1" applyProtection="1">
      <alignment horizontal="right" vertical="center"/>
    </xf>
    <xf numFmtId="38" fontId="68"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8" xfId="44" applyNumberFormat="1" applyFont="1" applyFill="1" applyBorder="1" applyAlignment="1" applyProtection="1">
      <alignment vertical="center"/>
    </xf>
    <xf numFmtId="0" fontId="2" fillId="25" borderId="51" xfId="44" applyFont="1" applyFill="1" applyBorder="1" applyAlignment="1" applyProtection="1">
      <alignment horizontal="lef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9" fontId="5" fillId="26" borderId="103" xfId="0" applyNumberFormat="1" applyFont="1" applyFill="1" applyBorder="1" applyAlignment="1" applyProtection="1">
      <alignment horizontal="center" vertical="center"/>
      <protection locked="0"/>
    </xf>
    <xf numFmtId="189" fontId="5" fillId="26" borderId="117" xfId="0" applyNumberFormat="1" applyFont="1" applyFill="1" applyBorder="1" applyAlignment="1" applyProtection="1">
      <alignment horizontal="center" vertical="center"/>
      <protection locked="0"/>
    </xf>
    <xf numFmtId="189" fontId="5" fillId="26" borderId="104" xfId="0" applyNumberFormat="1" applyFont="1" applyFill="1" applyBorder="1" applyAlignment="1" applyProtection="1">
      <alignment horizontal="center" vertical="center"/>
      <protection locked="0"/>
    </xf>
    <xf numFmtId="0" fontId="3" fillId="25" borderId="42" xfId="0" applyFont="1" applyFill="1" applyBorder="1" applyAlignment="1" applyProtection="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Border="1" applyAlignment="1" applyProtection="1">
      <alignment horizontal="left" vertical="center" shrinkToFit="1"/>
      <protection locked="0"/>
    </xf>
    <xf numFmtId="180" fontId="7" fillId="39" borderId="0" xfId="0" applyNumberFormat="1" applyFont="1" applyFill="1" applyBorder="1" applyAlignment="1" applyProtection="1">
      <alignment horizontal="left" shrinkToFit="1"/>
      <protection locked="0"/>
    </xf>
    <xf numFmtId="180" fontId="3" fillId="39" borderId="77" xfId="0" applyNumberFormat="1" applyFont="1" applyFill="1" applyBorder="1" applyAlignment="1" applyProtection="1">
      <alignment horizontal="left" vertical="center" shrinkToFit="1"/>
      <protection locked="0"/>
    </xf>
    <xf numFmtId="180" fontId="3" fillId="39" borderId="70" xfId="0" applyNumberFormat="1" applyFont="1" applyFill="1" applyBorder="1" applyAlignment="1" applyProtection="1">
      <alignment horizontal="left" vertical="center" shrinkToFit="1"/>
      <protection locked="0"/>
    </xf>
    <xf numFmtId="180" fontId="7" fillId="39" borderId="70" xfId="0" applyNumberFormat="1" applyFont="1" applyFill="1" applyBorder="1" applyAlignment="1" applyProtection="1">
      <alignment horizontal="left" shrinkToFit="1"/>
      <protection locked="0"/>
    </xf>
    <xf numFmtId="0" fontId="0" fillId="24" borderId="10" xfId="0" applyFill="1" applyBorder="1">
      <alignment vertical="center"/>
    </xf>
    <xf numFmtId="0" fontId="5" fillId="24" borderId="10" xfId="0" applyFont="1" applyFill="1" applyBorder="1">
      <alignment vertical="center"/>
    </xf>
    <xf numFmtId="177" fontId="68" fillId="25" borderId="51" xfId="44" applyNumberFormat="1" applyFont="1" applyFill="1" applyBorder="1" applyAlignment="1" applyProtection="1">
      <alignment vertical="center"/>
    </xf>
    <xf numFmtId="177" fontId="2" fillId="25" borderId="168" xfId="28" applyNumberFormat="1" applyFont="1" applyFill="1" applyBorder="1" applyAlignment="1" applyProtection="1">
      <alignment horizontal="center" vertical="center"/>
    </xf>
    <xf numFmtId="177" fontId="2" fillId="25" borderId="171" xfId="28" applyNumberFormat="1" applyFont="1" applyFill="1" applyBorder="1" applyAlignment="1" applyProtection="1">
      <alignment horizontal="center" vertical="center"/>
    </xf>
    <xf numFmtId="40" fontId="2" fillId="25" borderId="171" xfId="44" applyNumberFormat="1" applyFont="1" applyFill="1" applyBorder="1" applyAlignment="1" applyProtection="1">
      <alignment vertical="center"/>
    </xf>
    <xf numFmtId="176" fontId="13" fillId="25" borderId="90" xfId="44" applyNumberFormat="1" applyFont="1" applyFill="1" applyBorder="1" applyAlignment="1" applyProtection="1">
      <alignment horizontal="center" vertical="center"/>
    </xf>
    <xf numFmtId="176" fontId="13" fillId="25" borderId="130" xfId="44" applyNumberFormat="1" applyFont="1" applyFill="1" applyBorder="1" applyAlignment="1" applyProtection="1">
      <alignment horizontal="center" vertical="center"/>
    </xf>
    <xf numFmtId="176" fontId="13" fillId="25" borderId="41" xfId="44" applyNumberFormat="1" applyFont="1" applyFill="1" applyBorder="1" applyAlignment="1" applyProtection="1">
      <alignment horizontal="center" vertical="center"/>
    </xf>
    <xf numFmtId="176" fontId="13" fillId="25" borderId="113" xfId="44" applyNumberFormat="1" applyFont="1" applyFill="1" applyBorder="1" applyAlignment="1" applyProtection="1">
      <alignment horizontal="center" vertical="center"/>
    </xf>
    <xf numFmtId="177" fontId="2" fillId="25" borderId="172" xfId="44" applyNumberFormat="1" applyFont="1" applyFill="1" applyBorder="1" applyAlignment="1" applyProtection="1">
      <alignment vertical="center"/>
    </xf>
    <xf numFmtId="176" fontId="13" fillId="25" borderId="44" xfId="44" applyNumberFormat="1" applyFont="1" applyFill="1" applyBorder="1" applyAlignment="1" applyProtection="1">
      <alignment horizontal="center" vertical="center"/>
    </xf>
    <xf numFmtId="180" fontId="13" fillId="26" borderId="101" xfId="44" applyNumberFormat="1" applyFont="1" applyFill="1" applyBorder="1" applyAlignment="1" applyProtection="1">
      <alignment horizontal="center" vertical="center"/>
    </xf>
    <xf numFmtId="0" fontId="13" fillId="26" borderId="173" xfId="44" applyFont="1" applyFill="1" applyBorder="1" applyAlignment="1" applyProtection="1">
      <alignment vertical="center"/>
    </xf>
    <xf numFmtId="0" fontId="13" fillId="26" borderId="140" xfId="44" applyFont="1" applyFill="1" applyBorder="1" applyAlignment="1" applyProtection="1">
      <alignment horizontal="center" vertical="center"/>
    </xf>
    <xf numFmtId="178" fontId="2" fillId="25" borderId="90" xfId="44" applyNumberFormat="1" applyFont="1" applyFill="1" applyBorder="1" applyAlignment="1" applyProtection="1">
      <alignment vertical="center"/>
    </xf>
    <xf numFmtId="178" fontId="2" fillId="25" borderId="86" xfId="44" applyNumberFormat="1" applyFont="1" applyFill="1" applyBorder="1" applyAlignment="1" applyProtection="1">
      <alignment vertical="center"/>
    </xf>
    <xf numFmtId="178" fontId="120" fillId="27" borderId="130" xfId="44" applyNumberFormat="1" applyFont="1" applyFill="1" applyBorder="1" applyAlignment="1" applyProtection="1">
      <alignment horizontal="right" vertical="center"/>
    </xf>
    <xf numFmtId="0" fontId="3" fillId="25" borderId="97" xfId="44" applyFont="1" applyFill="1" applyBorder="1" applyAlignment="1" applyProtection="1">
      <alignment horizontal="right" vertical="center"/>
    </xf>
    <xf numFmtId="0" fontId="68" fillId="25" borderId="23" xfId="44" applyFont="1" applyFill="1" applyBorder="1" applyAlignment="1" applyProtection="1">
      <alignment vertical="center"/>
    </xf>
    <xf numFmtId="0" fontId="13" fillId="25" borderId="20" xfId="44" applyFont="1" applyFill="1" applyBorder="1" applyAlignment="1" applyProtection="1">
      <alignment vertical="center"/>
    </xf>
    <xf numFmtId="0" fontId="34" fillId="25" borderId="23" xfId="44" applyFont="1" applyFill="1" applyBorder="1" applyAlignment="1" applyProtection="1">
      <alignment vertical="center"/>
    </xf>
    <xf numFmtId="0" fontId="13" fillId="25" borderId="20" xfId="44" applyFont="1" applyFill="1" applyBorder="1" applyAlignment="1" applyProtection="1">
      <alignment horizontal="right" vertical="center"/>
    </xf>
    <xf numFmtId="0" fontId="13" fillId="25" borderId="87" xfId="44" applyFont="1" applyFill="1" applyBorder="1" applyAlignment="1" applyProtection="1">
      <alignment vertical="center"/>
    </xf>
    <xf numFmtId="0" fontId="13" fillId="25" borderId="84" xfId="44" applyFont="1" applyFill="1" applyBorder="1" applyAlignment="1" applyProtection="1">
      <alignment vertical="center"/>
    </xf>
    <xf numFmtId="0" fontId="2" fillId="25" borderId="25" xfId="44" applyFont="1" applyFill="1" applyBorder="1" applyAlignment="1" applyProtection="1">
      <alignment vertical="center"/>
    </xf>
    <xf numFmtId="38" fontId="13" fillId="25" borderId="168" xfId="35" applyFont="1" applyFill="1" applyBorder="1" applyAlignment="1" applyProtection="1">
      <alignment vertical="center"/>
    </xf>
    <xf numFmtId="178" fontId="13" fillId="25" borderId="20" xfId="44" applyNumberFormat="1" applyFont="1" applyFill="1" applyBorder="1" applyAlignment="1" applyProtection="1">
      <alignment horizontal="right" vertical="center"/>
    </xf>
    <xf numFmtId="199" fontId="68" fillId="25" borderId="23" xfId="44" applyNumberFormat="1" applyFont="1" applyFill="1" applyBorder="1" applyAlignment="1" applyProtection="1">
      <alignment vertical="center"/>
    </xf>
    <xf numFmtId="0" fontId="68" fillId="25" borderId="102" xfId="44" applyFont="1" applyFill="1" applyBorder="1" applyAlignment="1" applyProtection="1">
      <alignment vertical="center"/>
    </xf>
    <xf numFmtId="0" fontId="120" fillId="27" borderId="174" xfId="44" applyFont="1" applyFill="1" applyBorder="1" applyAlignment="1" applyProtection="1">
      <alignment vertical="center"/>
    </xf>
    <xf numFmtId="0" fontId="15" fillId="27" borderId="99" xfId="44" applyFont="1" applyFill="1" applyBorder="1" applyAlignment="1" applyProtection="1">
      <alignment horizontal="left" vertical="center"/>
    </xf>
    <xf numFmtId="0" fontId="15" fillId="27" borderId="99" xfId="44" applyFont="1" applyFill="1" applyBorder="1" applyAlignment="1" applyProtection="1">
      <alignment vertical="center"/>
    </xf>
    <xf numFmtId="0" fontId="130" fillId="27" borderId="175" xfId="44" applyFont="1" applyFill="1" applyBorder="1" applyAlignment="1" applyProtection="1">
      <alignment vertical="center"/>
    </xf>
    <xf numFmtId="0" fontId="68" fillId="25" borderId="81" xfId="44" applyFont="1" applyFill="1" applyBorder="1" applyAlignment="1" applyProtection="1">
      <alignment vertical="center"/>
    </xf>
    <xf numFmtId="0" fontId="68" fillId="25" borderId="19" xfId="44" applyFont="1" applyFill="1" applyBorder="1" applyAlignment="1" applyProtection="1">
      <alignment vertical="center"/>
    </xf>
    <xf numFmtId="180" fontId="13" fillId="25" borderId="19" xfId="44" applyNumberFormat="1" applyFont="1" applyFill="1" applyBorder="1" applyAlignment="1" applyProtection="1">
      <alignment horizontal="left" vertical="center"/>
    </xf>
    <xf numFmtId="0" fontId="13" fillId="25" borderId="19" xfId="44" applyFont="1" applyFill="1" applyBorder="1" applyAlignment="1" applyProtection="1">
      <alignment vertical="center"/>
    </xf>
    <xf numFmtId="179" fontId="10" fillId="26" borderId="44" xfId="0" applyNumberFormat="1" applyFont="1" applyFill="1" applyBorder="1" applyAlignment="1" applyProtection="1">
      <alignment vertical="center" wrapText="1"/>
      <protection locked="0"/>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6"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65" fillId="0" borderId="0" xfId="0" applyFont="1" applyFill="1" applyBorder="1" applyAlignment="1">
      <alignment vertical="center"/>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65" fillId="0" borderId="115" xfId="0" applyFont="1" applyFill="1" applyBorder="1" applyAlignment="1">
      <alignment vertical="center"/>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186" fontId="42" fillId="0" borderId="0" xfId="35" applyNumberFormat="1" applyFont="1" applyFill="1" applyBorder="1" applyAlignment="1" applyProtection="1">
      <alignment horizontal="right" vertical="center"/>
      <protection hidden="1"/>
    </xf>
    <xf numFmtId="186" fontId="42" fillId="0" borderId="0" xfId="35" applyNumberFormat="1" applyFont="1" applyFill="1" applyBorder="1" applyAlignment="1" applyProtection="1">
      <alignment horizontal="right" vertical="top"/>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65"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2" fillId="0" borderId="0" xfId="35" applyNumberFormat="1" applyFont="1" applyFill="1" applyBorder="1" applyAlignment="1" applyProtection="1">
      <protection hidden="1"/>
    </xf>
    <xf numFmtId="0" fontId="95" fillId="31" borderId="80" xfId="0" applyFont="1" applyFill="1" applyBorder="1" applyAlignment="1" applyProtection="1">
      <alignment vertical="center"/>
      <protection hidden="1"/>
    </xf>
    <xf numFmtId="0" fontId="3" fillId="0" borderId="10" xfId="0" applyFont="1" applyFill="1" applyBorder="1" applyAlignment="1" applyProtection="1">
      <alignment vertical="center"/>
    </xf>
    <xf numFmtId="0" fontId="68" fillId="0" borderId="10" xfId="0" applyFont="1" applyFill="1" applyBorder="1" applyProtection="1">
      <alignment vertical="center"/>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8" fillId="25" borderId="161" xfId="0" applyFont="1" applyFill="1" applyBorder="1" applyAlignment="1" applyProtection="1">
      <alignment vertical="center"/>
      <protection hidden="1"/>
    </xf>
    <xf numFmtId="0" fontId="7" fillId="25" borderId="176" xfId="0" applyFont="1" applyFill="1" applyBorder="1" applyAlignment="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5" fillId="34" borderId="10" xfId="0" applyNumberFormat="1" applyFont="1" applyFill="1" applyBorder="1" applyProtection="1">
      <alignment vertical="center"/>
      <protection hidden="1"/>
    </xf>
    <xf numFmtId="0" fontId="3" fillId="25" borderId="177"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6" xfId="44" applyNumberFormat="1" applyFont="1" applyFill="1" applyBorder="1" applyAlignment="1" applyProtection="1">
      <alignment vertical="center"/>
    </xf>
    <xf numFmtId="203" fontId="120" fillId="27" borderId="130" xfId="44" applyNumberFormat="1" applyFont="1" applyFill="1" applyBorder="1" applyAlignment="1" applyProtection="1">
      <alignment horizontal="right" vertical="center"/>
    </xf>
    <xf numFmtId="0" fontId="3" fillId="0" borderId="0" xfId="44" applyFont="1" applyBorder="1" applyAlignment="1"/>
    <xf numFmtId="0" fontId="27" fillId="0" borderId="0" xfId="44" applyFont="1" applyFill="1" applyBorder="1" applyAlignment="1">
      <alignment vertical="center"/>
    </xf>
    <xf numFmtId="0" fontId="27" fillId="25" borderId="0" xfId="44" applyFont="1" applyFill="1" applyBorder="1" applyAlignment="1" applyProtection="1">
      <alignment vertical="center"/>
    </xf>
    <xf numFmtId="0" fontId="27" fillId="25" borderId="0" xfId="44" applyFont="1" applyFill="1" applyBorder="1" applyAlignment="1" applyProtection="1">
      <alignment horizontal="right" vertical="center"/>
    </xf>
    <xf numFmtId="38" fontId="13" fillId="25" borderId="20" xfId="35" applyFont="1" applyFill="1" applyBorder="1" applyAlignment="1" applyProtection="1">
      <alignment horizontal="righ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8" xfId="0" applyFont="1" applyFill="1" applyBorder="1" applyAlignment="1" applyProtection="1">
      <alignment vertical="center"/>
      <protection hidden="1"/>
    </xf>
    <xf numFmtId="0" fontId="17" fillId="29" borderId="179" xfId="0" applyFont="1" applyFill="1" applyBorder="1" applyAlignment="1" applyProtection="1">
      <alignment vertical="center"/>
      <protection hidden="1"/>
    </xf>
    <xf numFmtId="0" fontId="114" fillId="25" borderId="180" xfId="29" applyFont="1" applyFill="1" applyBorder="1" applyAlignment="1" applyProtection="1">
      <alignment vertical="center"/>
      <protection hidden="1"/>
    </xf>
    <xf numFmtId="0" fontId="114" fillId="25" borderId="112" xfId="29" applyFont="1" applyFill="1" applyBorder="1" applyAlignment="1" applyProtection="1">
      <alignment vertical="center"/>
      <protection hidden="1"/>
    </xf>
    <xf numFmtId="0" fontId="114" fillId="25" borderId="161" xfId="29" applyFont="1" applyFill="1" applyBorder="1" applyAlignment="1" applyProtection="1">
      <alignment vertical="center"/>
      <protection hidden="1"/>
    </xf>
    <xf numFmtId="0" fontId="114" fillId="25" borderId="181"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1" fillId="29" borderId="182" xfId="0" applyFont="1" applyFill="1" applyBorder="1" applyProtection="1">
      <alignment vertical="center"/>
    </xf>
    <xf numFmtId="0" fontId="49" fillId="0" borderId="167" xfId="0" applyFont="1" applyFill="1" applyBorder="1" applyAlignment="1" applyProtection="1">
      <alignment horizontal="left" vertical="center"/>
      <protection hidden="1"/>
    </xf>
    <xf numFmtId="0" fontId="13" fillId="0" borderId="0" xfId="0" applyFont="1" applyProtection="1">
      <alignment vertical="center"/>
    </xf>
    <xf numFmtId="0" fontId="114" fillId="25" borderId="183" xfId="29" applyFont="1" applyFill="1" applyBorder="1" applyAlignment="1" applyProtection="1">
      <alignment horizontal="left" vertical="center" indent="1"/>
      <protection hidden="1"/>
    </xf>
    <xf numFmtId="0" fontId="114" fillId="25" borderId="184" xfId="29" applyFont="1" applyFill="1" applyBorder="1" applyAlignment="1" applyProtection="1">
      <alignment vertical="center"/>
      <protection hidden="1"/>
    </xf>
    <xf numFmtId="0" fontId="13" fillId="0" borderId="185" xfId="0" applyFont="1" applyFill="1" applyBorder="1" applyAlignment="1" applyProtection="1">
      <alignment horizontal="right" vertical="center"/>
      <protection locked="0"/>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xf>
    <xf numFmtId="0" fontId="3" fillId="25" borderId="43" xfId="0" applyNumberFormat="1" applyFont="1" applyFill="1" applyBorder="1" applyAlignment="1">
      <alignment horizontal="center" vertical="center" wrapText="1"/>
    </xf>
    <xf numFmtId="0" fontId="3" fillId="25" borderId="119" xfId="0" applyNumberFormat="1" applyFont="1" applyFill="1" applyBorder="1" applyAlignment="1">
      <alignment horizontal="center" vertical="center" wrapText="1"/>
    </xf>
    <xf numFmtId="0" fontId="3" fillId="25" borderId="16" xfId="0" applyNumberFormat="1" applyFont="1" applyFill="1" applyBorder="1" applyAlignment="1">
      <alignment horizontal="center" vertical="center" wrapText="1"/>
    </xf>
    <xf numFmtId="0" fontId="3" fillId="25" borderId="48" xfId="0" applyNumberFormat="1" applyFont="1" applyFill="1" applyBorder="1" applyAlignment="1">
      <alignment horizontal="center" vertical="center" wrapText="1"/>
    </xf>
    <xf numFmtId="0" fontId="3" fillId="25" borderId="120"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0" fontId="7" fillId="25" borderId="0" xfId="0" applyFont="1" applyFill="1" applyBorder="1" applyAlignment="1" applyProtection="1">
      <alignment vertical="center" shrinkToFit="1"/>
    </xf>
    <xf numFmtId="3" fontId="92" fillId="0" borderId="0" xfId="0" applyNumberFormat="1" applyFont="1" applyFill="1" applyBorder="1" applyAlignment="1" applyProtection="1">
      <alignment horizontal="left" vertical="center"/>
      <protection locked="0" hidden="1"/>
    </xf>
    <xf numFmtId="0" fontId="65" fillId="0" borderId="0" xfId="0" applyFont="1" applyFill="1" applyBorder="1" applyProtection="1">
      <alignment vertical="center"/>
      <protection locked="0" hidden="1"/>
    </xf>
    <xf numFmtId="0" fontId="65" fillId="0" borderId="20" xfId="0" applyFont="1" applyFill="1" applyBorder="1" applyProtection="1">
      <alignment vertical="center"/>
      <protection locked="0" hidden="1"/>
    </xf>
    <xf numFmtId="0" fontId="93" fillId="0" borderId="0" xfId="0" applyFont="1" applyFill="1" applyBorder="1" applyProtection="1">
      <alignment vertical="center"/>
      <protection locked="0" hidden="1"/>
    </xf>
    <xf numFmtId="0" fontId="38" fillId="0" borderId="0" xfId="0" applyFont="1" applyFill="1" applyBorder="1" applyProtection="1">
      <alignment vertical="center"/>
      <protection locked="0" hidden="1"/>
    </xf>
    <xf numFmtId="0" fontId="38" fillId="0" borderId="20" xfId="0" applyFont="1" applyFill="1" applyBorder="1" applyProtection="1">
      <alignment vertical="center"/>
      <protection locked="0" hidden="1"/>
    </xf>
    <xf numFmtId="0" fontId="93" fillId="0" borderId="19" xfId="0" applyFont="1" applyFill="1" applyBorder="1" applyProtection="1">
      <alignment vertical="center"/>
      <protection locked="0" hidden="1"/>
    </xf>
    <xf numFmtId="3" fontId="92" fillId="0" borderId="19" xfId="0" applyNumberFormat="1" applyFont="1" applyFill="1" applyBorder="1" applyAlignment="1" applyProtection="1">
      <alignment horizontal="left" vertical="center"/>
      <protection locked="0" hidden="1"/>
    </xf>
    <xf numFmtId="0" fontId="38" fillId="0" borderId="19" xfId="0" applyFont="1" applyFill="1" applyBorder="1" applyProtection="1">
      <alignment vertical="center"/>
      <protection locked="0" hidden="1"/>
    </xf>
    <xf numFmtId="0" fontId="38" fillId="0" borderId="25" xfId="0" applyFont="1" applyFill="1" applyBorder="1" applyProtection="1">
      <alignment vertical="center"/>
      <protection locked="0" hidden="1"/>
    </xf>
    <xf numFmtId="3" fontId="51" fillId="24" borderId="0" xfId="0" applyNumberFormat="1" applyFont="1" applyFill="1" applyBorder="1" applyAlignment="1" applyProtection="1">
      <alignment horizontal="left" vertical="center"/>
    </xf>
    <xf numFmtId="0" fontId="3" fillId="0" borderId="23" xfId="0" applyFont="1" applyFill="1" applyBorder="1" applyAlignment="1" applyProtection="1">
      <alignment vertical="center"/>
      <protection hidden="1"/>
    </xf>
    <xf numFmtId="0" fontId="21" fillId="0" borderId="0" xfId="0" applyFont="1" applyFill="1" applyBorder="1" applyProtection="1">
      <alignment vertical="center"/>
      <protection locked="0"/>
    </xf>
    <xf numFmtId="0" fontId="3" fillId="25" borderId="115" xfId="0" applyFont="1" applyFill="1" applyBorder="1" applyAlignment="1" applyProtection="1">
      <alignment vertical="center" wrapText="1"/>
      <protection hidden="1"/>
    </xf>
    <xf numFmtId="0" fontId="3" fillId="25" borderId="186"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2" fillId="0" borderId="0" xfId="44" applyFont="1" applyBorder="1" applyAlignment="1">
      <alignment horizontal="left"/>
    </xf>
    <xf numFmtId="0" fontId="114" fillId="25" borderId="181" xfId="0" applyFont="1" applyFill="1" applyBorder="1" applyAlignment="1" applyProtection="1">
      <alignment vertical="center"/>
      <protection hidden="1"/>
    </xf>
    <xf numFmtId="0" fontId="114" fillId="25" borderId="187" xfId="29" applyFont="1" applyFill="1" applyBorder="1" applyAlignment="1" applyProtection="1">
      <alignment vertical="center"/>
      <protection hidden="1"/>
    </xf>
    <xf numFmtId="0" fontId="114" fillId="25" borderId="188" xfId="29" applyFont="1" applyFill="1" applyBorder="1" applyAlignment="1" applyProtection="1">
      <alignment vertical="center"/>
      <protection hidden="1"/>
    </xf>
    <xf numFmtId="0" fontId="34" fillId="0" borderId="21" xfId="0" applyFont="1" applyBorder="1" applyProtection="1">
      <alignment vertical="center"/>
    </xf>
    <xf numFmtId="0" fontId="0" fillId="0" borderId="21" xfId="0" applyBorder="1" applyProtection="1">
      <alignment vertical="center"/>
    </xf>
    <xf numFmtId="0" fontId="10" fillId="0" borderId="0" xfId="0" applyFont="1" applyAlignment="1" applyProtection="1">
      <alignment horizontal="right" vertical="center"/>
    </xf>
    <xf numFmtId="0" fontId="13" fillId="25" borderId="10" xfId="0" applyFont="1" applyFill="1" applyBorder="1" applyAlignment="1" applyProtection="1">
      <alignment horizontal="center" vertical="center"/>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178" fontId="13" fillId="30" borderId="44" xfId="0" applyNumberFormat="1" applyFont="1" applyFill="1" applyBorder="1" applyAlignment="1" applyProtection="1">
      <alignment horizontal="center" vertical="center"/>
      <protection locked="0"/>
    </xf>
    <xf numFmtId="178" fontId="13" fillId="25" borderId="90" xfId="0" applyNumberFormat="1" applyFont="1" applyFill="1" applyBorder="1" applyAlignment="1" applyProtection="1">
      <alignment horizontal="center" vertical="center"/>
    </xf>
    <xf numFmtId="178" fontId="13" fillId="25" borderId="123" xfId="0" applyNumberFormat="1" applyFont="1" applyFill="1" applyBorder="1" applyAlignment="1" applyProtection="1">
      <alignment horizontal="center" vertical="center"/>
    </xf>
    <xf numFmtId="0" fontId="13" fillId="25" borderId="10" xfId="0" applyFont="1" applyFill="1" applyBorder="1" applyAlignment="1" applyProtection="1">
      <alignment vertical="center" wrapText="1"/>
    </xf>
    <xf numFmtId="178" fontId="13" fillId="25" borderId="86" xfId="0" applyNumberFormat="1" applyFont="1" applyFill="1" applyBorder="1" applyAlignment="1" applyProtection="1">
      <alignment horizontal="center" vertical="center"/>
    </xf>
    <xf numFmtId="178" fontId="13" fillId="25" borderId="189" xfId="0" applyNumberFormat="1" applyFont="1" applyFill="1" applyBorder="1" applyAlignment="1" applyProtection="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4"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pplyProtection="1">
      <alignment horizontal="center" vertical="center"/>
    </xf>
    <xf numFmtId="178" fontId="13" fillId="25" borderId="45" xfId="0" quotePrefix="1" applyNumberFormat="1" applyFont="1" applyFill="1" applyBorder="1" applyAlignment="1" applyProtection="1">
      <alignment horizontal="center" vertical="center"/>
    </xf>
    <xf numFmtId="177" fontId="13" fillId="40" borderId="44" xfId="0" applyNumberFormat="1" applyFont="1" applyFill="1" applyBorder="1" applyAlignment="1" applyProtection="1">
      <alignment horizontal="center" vertical="center"/>
      <protection locked="0"/>
    </xf>
    <xf numFmtId="178" fontId="13" fillId="25" borderId="97" xfId="0" quotePrefix="1" applyNumberFormat="1" applyFont="1" applyFill="1" applyBorder="1" applyAlignment="1" applyProtection="1">
      <alignment horizontal="center" vertical="center"/>
    </xf>
    <xf numFmtId="0" fontId="13" fillId="25" borderId="16" xfId="0" applyFont="1" applyFill="1" applyBorder="1" applyAlignment="1" applyProtection="1">
      <alignment vertical="center" wrapText="1"/>
    </xf>
    <xf numFmtId="0" fontId="13" fillId="25" borderId="11" xfId="0" applyFont="1" applyFill="1" applyBorder="1" applyAlignment="1" applyProtection="1">
      <alignment horizontal="right" vertical="center" wrapText="1"/>
    </xf>
    <xf numFmtId="0" fontId="13" fillId="25" borderId="190" xfId="0" applyFont="1" applyFill="1" applyBorder="1" applyAlignment="1" applyProtection="1">
      <alignment horizontal="right" vertical="center" wrapText="1"/>
    </xf>
    <xf numFmtId="178" fontId="13" fillId="25" borderId="138" xfId="0" applyNumberFormat="1" applyFont="1" applyFill="1" applyBorder="1" applyAlignment="1" applyProtection="1">
      <alignment horizontal="left" vertical="center" wrapText="1"/>
    </xf>
    <xf numFmtId="178" fontId="13" fillId="25" borderId="47" xfId="0" applyNumberFormat="1" applyFont="1" applyFill="1" applyBorder="1" applyAlignment="1" applyProtection="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8" xfId="0" applyNumberFormat="1" applyFont="1" applyFill="1" applyBorder="1" applyAlignment="1" applyProtection="1">
      <alignment horizontal="center" vertical="center" wrapText="1"/>
    </xf>
    <xf numFmtId="0" fontId="13" fillId="25" borderId="48" xfId="0" applyFont="1" applyFill="1" applyBorder="1" applyAlignment="1" applyProtection="1">
      <alignment vertical="center" wrapText="1"/>
    </xf>
    <xf numFmtId="0" fontId="13" fillId="25" borderId="11" xfId="0" applyFont="1" applyFill="1" applyBorder="1" applyAlignment="1" applyProtection="1">
      <alignment horizontal="center" vertical="center" wrapText="1"/>
    </xf>
    <xf numFmtId="0" fontId="13" fillId="25" borderId="191" xfId="0" applyFont="1" applyFill="1" applyBorder="1" applyAlignment="1" applyProtection="1">
      <alignment horizontal="center" vertical="center" wrapText="1"/>
    </xf>
    <xf numFmtId="178" fontId="13" fillId="40" borderId="119" xfId="0" applyNumberFormat="1" applyFont="1" applyFill="1" applyBorder="1" applyAlignment="1" applyProtection="1">
      <alignment horizontal="left" vertical="center" wrapText="1"/>
      <protection locked="0"/>
    </xf>
    <xf numFmtId="178" fontId="13" fillId="25" borderId="112" xfId="0" applyNumberFormat="1" applyFont="1" applyFill="1" applyBorder="1" applyAlignment="1" applyProtection="1">
      <alignment horizontal="right" vertical="center" wrapText="1"/>
    </xf>
    <xf numFmtId="177" fontId="13" fillId="40" borderId="119" xfId="0" applyNumberFormat="1" applyFont="1" applyFill="1" applyBorder="1" applyAlignment="1" applyProtection="1">
      <alignment horizontal="center" vertical="center"/>
      <protection locked="0"/>
    </xf>
    <xf numFmtId="0" fontId="13" fillId="25" borderId="192" xfId="0" applyFont="1" applyFill="1" applyBorder="1" applyAlignment="1" applyProtection="1">
      <alignment horizontal="center" vertical="center" wrapText="1"/>
    </xf>
    <xf numFmtId="178" fontId="13" fillId="40" borderId="107" xfId="0" applyNumberFormat="1" applyFont="1" applyFill="1" applyBorder="1" applyAlignment="1" applyProtection="1">
      <alignment horizontal="left" vertical="center" wrapText="1"/>
      <protection locked="0"/>
    </xf>
    <xf numFmtId="178" fontId="13" fillId="25" borderId="118" xfId="0" applyNumberFormat="1" applyFont="1" applyFill="1" applyBorder="1" applyAlignment="1" applyProtection="1">
      <alignment horizontal="right" vertical="center" wrapText="1"/>
    </xf>
    <xf numFmtId="177" fontId="13" fillId="40" borderId="193" xfId="0" applyNumberFormat="1" applyFont="1" applyFill="1" applyBorder="1" applyAlignment="1" applyProtection="1">
      <alignment horizontal="center" vertical="center"/>
      <protection locked="0"/>
    </xf>
    <xf numFmtId="178" fontId="13" fillId="25" borderId="139" xfId="0" applyNumberFormat="1" applyFont="1" applyFill="1" applyBorder="1" applyAlignment="1" applyProtection="1">
      <alignment horizontal="center" vertical="center" wrapText="1"/>
    </xf>
    <xf numFmtId="0" fontId="13" fillId="25" borderId="13" xfId="0" applyFont="1" applyFill="1" applyBorder="1" applyAlignment="1" applyProtection="1">
      <alignment vertical="center" wrapText="1"/>
    </xf>
    <xf numFmtId="178" fontId="13" fillId="25" borderId="46" xfId="0" quotePrefix="1" applyNumberFormat="1" applyFont="1" applyFill="1" applyBorder="1" applyAlignment="1" applyProtection="1">
      <alignment horizontal="center" vertical="center"/>
    </xf>
    <xf numFmtId="0" fontId="13" fillId="25" borderId="194" xfId="0" applyFont="1" applyFill="1" applyBorder="1" applyAlignment="1" applyProtection="1">
      <alignment horizontal="right" vertical="center" wrapText="1"/>
    </xf>
    <xf numFmtId="0" fontId="13" fillId="25" borderId="47" xfId="0" applyFont="1" applyFill="1" applyBorder="1" applyAlignment="1" applyProtection="1">
      <alignment horizontal="left" vertical="center" wrapText="1"/>
    </xf>
    <xf numFmtId="0" fontId="13" fillId="25" borderId="14" xfId="0" applyFont="1" applyFill="1" applyBorder="1" applyAlignment="1" applyProtection="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pplyProtection="1">
      <alignment horizontal="center" vertical="center" wrapText="1"/>
    </xf>
    <xf numFmtId="0" fontId="13" fillId="25" borderId="194" xfId="0" applyFont="1" applyFill="1" applyBorder="1" applyAlignment="1" applyProtection="1">
      <alignment horizontal="center" vertical="center" wrapText="1"/>
    </xf>
    <xf numFmtId="0" fontId="13" fillId="25" borderId="16" xfId="0" applyFont="1" applyFill="1" applyBorder="1" applyAlignment="1" applyProtection="1">
      <alignment horizontal="center" vertical="center" wrapText="1"/>
    </xf>
    <xf numFmtId="0" fontId="13" fillId="25" borderId="119" xfId="0" applyFont="1" applyFill="1" applyBorder="1" applyAlignment="1" applyProtection="1">
      <alignment horizontal="left" vertical="center" wrapText="1"/>
    </xf>
    <xf numFmtId="177" fontId="13" fillId="30" borderId="119" xfId="0" applyNumberFormat="1" applyFont="1" applyFill="1" applyBorder="1" applyAlignment="1" applyProtection="1">
      <alignment horizontal="center" vertical="center"/>
      <protection locked="0"/>
    </xf>
    <xf numFmtId="0" fontId="13" fillId="25" borderId="119" xfId="0" applyFont="1" applyFill="1" applyBorder="1" applyAlignment="1" applyProtection="1">
      <alignment vertical="center" wrapText="1"/>
    </xf>
    <xf numFmtId="0" fontId="13" fillId="25" borderId="195" xfId="0" applyFont="1" applyFill="1" applyBorder="1" applyAlignment="1" applyProtection="1">
      <alignment horizontal="center" vertical="center" wrapText="1"/>
    </xf>
    <xf numFmtId="0" fontId="13" fillId="25" borderId="54" xfId="0" applyFont="1" applyFill="1" applyBorder="1" applyAlignment="1" applyProtection="1">
      <alignment horizontal="center" vertical="center" wrapText="1"/>
    </xf>
    <xf numFmtId="0" fontId="13" fillId="25" borderId="193" xfId="0" applyFont="1" applyFill="1" applyBorder="1" applyAlignment="1" applyProtection="1">
      <alignment horizontal="left" vertical="center" wrapText="1"/>
    </xf>
    <xf numFmtId="177" fontId="13" fillId="30" borderId="193" xfId="0" applyNumberFormat="1" applyFont="1" applyFill="1" applyBorder="1" applyAlignment="1" applyProtection="1">
      <alignment horizontal="center" vertical="center"/>
      <protection locked="0"/>
    </xf>
    <xf numFmtId="177" fontId="13" fillId="25" borderId="193" xfId="0" applyNumberFormat="1" applyFont="1" applyFill="1" applyBorder="1" applyAlignment="1" applyProtection="1">
      <alignment horizontal="center" vertical="center" wrapText="1"/>
    </xf>
    <xf numFmtId="0" fontId="13" fillId="25" borderId="193" xfId="0" applyFont="1" applyFill="1" applyBorder="1" applyAlignment="1" applyProtection="1">
      <alignment vertical="center" wrapText="1"/>
    </xf>
    <xf numFmtId="0" fontId="13" fillId="0" borderId="0" xfId="0" applyFont="1" applyAlignment="1" applyProtection="1">
      <alignment vertical="center"/>
    </xf>
    <xf numFmtId="0" fontId="13" fillId="0" borderId="44" xfId="0" applyFont="1" applyBorder="1" applyProtection="1">
      <alignment vertical="center"/>
    </xf>
    <xf numFmtId="0" fontId="13" fillId="0" borderId="0" xfId="0" applyFont="1" applyAlignment="1" applyProtection="1">
      <alignment horizontal="right" vertical="center"/>
    </xf>
    <xf numFmtId="187" fontId="13" fillId="25" borderId="45" xfId="0" applyNumberFormat="1" applyFont="1" applyFill="1" applyBorder="1" applyAlignment="1" applyProtection="1">
      <alignment horizontal="center" vertical="center" wrapText="1" shrinkToFit="1"/>
    </xf>
    <xf numFmtId="0" fontId="13" fillId="25" borderId="43" xfId="0" applyFont="1" applyFill="1" applyBorder="1" applyAlignment="1" applyProtection="1">
      <alignment vertical="center" wrapText="1"/>
    </xf>
    <xf numFmtId="187" fontId="13" fillId="25" borderId="49" xfId="0" applyNumberFormat="1" applyFont="1" applyFill="1" applyBorder="1" applyAlignment="1" applyProtection="1">
      <alignment horizontal="center" vertical="center" wrapText="1" shrinkToFit="1"/>
    </xf>
    <xf numFmtId="178" fontId="13" fillId="25" borderId="10" xfId="0" applyNumberFormat="1" applyFont="1" applyFill="1" applyBorder="1" applyProtection="1">
      <alignment vertical="center"/>
    </xf>
    <xf numFmtId="0" fontId="13" fillId="25" borderId="10" xfId="0" applyFont="1" applyFill="1" applyBorder="1" applyAlignment="1" applyProtection="1">
      <alignment horizontal="right" vertical="center"/>
    </xf>
    <xf numFmtId="0" fontId="5" fillId="25" borderId="0" xfId="44" applyFont="1" applyFill="1" applyBorder="1" applyAlignment="1" applyProtection="1"/>
    <xf numFmtId="0" fontId="13" fillId="25" borderId="0" xfId="44" applyFont="1" applyFill="1" applyBorder="1" applyAlignment="1" applyProtection="1"/>
    <xf numFmtId="0" fontId="13" fillId="25" borderId="0" xfId="44" applyFont="1" applyFill="1" applyBorder="1" applyAlignment="1" applyProtection="1">
      <alignment horizontal="right"/>
    </xf>
    <xf numFmtId="0" fontId="13" fillId="25" borderId="0" xfId="0" applyFont="1" applyFill="1" applyAlignment="1" applyProtection="1">
      <alignment horizontal="right" vertical="center"/>
    </xf>
    <xf numFmtId="0" fontId="2" fillId="25" borderId="0" xfId="44" applyFill="1" applyBorder="1" applyAlignment="1" applyProtection="1"/>
    <xf numFmtId="0" fontId="13" fillId="25" borderId="44" xfId="0" applyFont="1" applyFill="1" applyBorder="1" applyAlignment="1" applyProtection="1">
      <alignment horizontal="right" vertical="center"/>
    </xf>
    <xf numFmtId="0" fontId="13" fillId="25" borderId="123" xfId="44" applyFont="1" applyFill="1" applyBorder="1" applyAlignment="1" applyProtection="1">
      <alignment horizontal="right"/>
    </xf>
    <xf numFmtId="0" fontId="3" fillId="25" borderId="0" xfId="44" applyFont="1" applyFill="1" applyBorder="1" applyAlignment="1" applyProtection="1"/>
    <xf numFmtId="0" fontId="13" fillId="25" borderId="21" xfId="44" applyFont="1" applyFill="1" applyBorder="1" applyAlignment="1" applyProtection="1"/>
    <xf numFmtId="0" fontId="13" fillId="25" borderId="21" xfId="0" applyFont="1" applyFill="1" applyBorder="1" applyProtection="1">
      <alignment vertical="center"/>
    </xf>
    <xf numFmtId="0" fontId="2" fillId="25" borderId="21" xfId="44" applyFill="1" applyBorder="1" applyAlignment="1" applyProtection="1"/>
    <xf numFmtId="0" fontId="0" fillId="25" borderId="21" xfId="0" applyFill="1" applyBorder="1" applyProtection="1">
      <alignment vertical="center"/>
    </xf>
    <xf numFmtId="0" fontId="27" fillId="25" borderId="0" xfId="44" applyFont="1" applyFill="1" applyBorder="1" applyAlignment="1" applyProtection="1"/>
    <xf numFmtId="0" fontId="13" fillId="25" borderId="51" xfId="44" applyFont="1" applyFill="1" applyBorder="1" applyAlignment="1" applyProtection="1"/>
    <xf numFmtId="0" fontId="13" fillId="25" borderId="42" xfId="44" applyFont="1" applyFill="1" applyBorder="1" applyAlignment="1" applyProtection="1"/>
    <xf numFmtId="0" fontId="13" fillId="25" borderId="43" xfId="44" applyFont="1" applyFill="1" applyBorder="1" applyAlignment="1" applyProtection="1">
      <alignment horizontal="center"/>
    </xf>
    <xf numFmtId="0" fontId="13" fillId="25" borderId="10" xfId="44" applyFont="1" applyFill="1" applyBorder="1" applyAlignment="1" applyProtection="1">
      <alignment horizontal="center" vertical="center"/>
    </xf>
    <xf numFmtId="0" fontId="13" fillId="24" borderId="44" xfId="44" applyFont="1" applyFill="1" applyBorder="1" applyAlignment="1" applyProtection="1">
      <alignment horizontal="right"/>
      <protection locked="0"/>
    </xf>
    <xf numFmtId="0" fontId="13" fillId="24" borderId="17" xfId="44" applyFont="1" applyFill="1" applyBorder="1" applyAlignment="1" applyProtection="1">
      <alignment horizontal="right"/>
      <protection locked="0"/>
    </xf>
    <xf numFmtId="0" fontId="13" fillId="25" borderId="51" xfId="44" applyFont="1" applyFill="1" applyBorder="1" applyAlignment="1" applyProtection="1">
      <alignment horizontal="right"/>
    </xf>
    <xf numFmtId="0" fontId="13" fillId="25" borderId="17" xfId="44" applyFont="1" applyFill="1" applyBorder="1" applyAlignment="1" applyProtection="1">
      <alignment horizontal="right"/>
    </xf>
    <xf numFmtId="0" fontId="13" fillId="25" borderId="69" xfId="44" applyFont="1" applyFill="1" applyBorder="1" applyAlignment="1" applyProtection="1"/>
    <xf numFmtId="0" fontId="13" fillId="25" borderId="70" xfId="44" applyFont="1" applyFill="1" applyBorder="1" applyAlignment="1" applyProtection="1"/>
    <xf numFmtId="0" fontId="13" fillId="25" borderId="10" xfId="44" applyFont="1" applyFill="1" applyBorder="1" applyAlignment="1" applyProtection="1"/>
    <xf numFmtId="0" fontId="13" fillId="25" borderId="72" xfId="44" applyFont="1" applyFill="1" applyBorder="1" applyAlignment="1" applyProtection="1"/>
    <xf numFmtId="0" fontId="13" fillId="25" borderId="22" xfId="44" applyFont="1" applyFill="1" applyBorder="1" applyAlignment="1" applyProtection="1"/>
    <xf numFmtId="0" fontId="13" fillId="24" borderId="88" xfId="44" applyFont="1" applyFill="1" applyBorder="1" applyAlignment="1" applyProtection="1">
      <alignment horizontal="right"/>
      <protection locked="0"/>
    </xf>
    <xf numFmtId="0" fontId="13" fillId="24" borderId="54" xfId="44" applyFont="1" applyFill="1" applyBorder="1" applyAlignment="1" applyProtection="1">
      <alignment horizontal="right"/>
      <protection locked="0"/>
    </xf>
    <xf numFmtId="0" fontId="13" fillId="25" borderId="0" xfId="0" applyFont="1" applyFill="1" applyAlignment="1" applyProtection="1"/>
    <xf numFmtId="0" fontId="13" fillId="25" borderId="17" xfId="44" applyFont="1" applyFill="1" applyBorder="1" applyAlignment="1" applyProtection="1"/>
    <xf numFmtId="0" fontId="0" fillId="25" borderId="0" xfId="0" applyFill="1" applyAlignment="1" applyProtection="1">
      <alignment horizontal="center" vertical="center"/>
    </xf>
    <xf numFmtId="0" fontId="13" fillId="25" borderId="0" xfId="0" applyFont="1" applyFill="1" applyAlignment="1" applyProtection="1">
      <alignment horizontal="center" vertical="center"/>
    </xf>
    <xf numFmtId="0" fontId="13" fillId="25" borderId="44" xfId="0" applyFont="1" applyFill="1" applyBorder="1" applyProtection="1">
      <alignment vertical="center"/>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0" fillId="25" borderId="0" xfId="0" applyFill="1">
      <alignment vertical="center"/>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2"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9" xfId="0" quotePrefix="1" applyFont="1" applyFill="1" applyBorder="1" applyAlignment="1" applyProtection="1">
      <alignment horizontal="center" vertical="center"/>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9" fontId="66" fillId="25" borderId="10" xfId="28" applyFont="1" applyFill="1" applyBorder="1" applyAlignment="1" applyProtection="1">
      <alignment vertical="center"/>
    </xf>
    <xf numFmtId="186" fontId="3" fillId="0" borderId="0" xfId="35" applyNumberFormat="1" applyFont="1" applyFill="1" applyAlignment="1" applyProtection="1">
      <alignment vertical="center"/>
    </xf>
    <xf numFmtId="9" fontId="25" fillId="25" borderId="10" xfId="28" applyFont="1" applyFill="1" applyBorder="1" applyAlignment="1" applyProtection="1">
      <alignment vertical="center"/>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5" fillId="25" borderId="23" xfId="44" applyFont="1" applyFill="1" applyBorder="1" applyAlignment="1" applyProtection="1">
      <alignment vertical="center"/>
    </xf>
    <xf numFmtId="0" fontId="13" fillId="25" borderId="0" xfId="0" applyFont="1" applyFill="1" applyBorder="1">
      <alignment vertical="center"/>
    </xf>
    <xf numFmtId="0" fontId="27" fillId="25" borderId="0" xfId="0" applyFont="1" applyFill="1" applyBorder="1">
      <alignment vertical="center"/>
    </xf>
    <xf numFmtId="0" fontId="27" fillId="25" borderId="0" xfId="0" applyFont="1" applyFill="1" applyBorder="1" applyAlignment="1">
      <alignment horizontal="right" vertical="center"/>
    </xf>
    <xf numFmtId="177" fontId="13" fillId="25" borderId="44" xfId="44"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Border="1" applyAlignment="1">
      <alignment horizontal="right" vertical="center"/>
    </xf>
    <xf numFmtId="0" fontId="13" fillId="25" borderId="0" xfId="0" applyFont="1" applyFill="1" applyBorder="1" applyAlignment="1">
      <alignment horizontal="left" vertical="center"/>
    </xf>
    <xf numFmtId="206" fontId="13" fillId="25" borderId="10" xfId="0" applyNumberFormat="1" applyFont="1" applyFill="1" applyBorder="1">
      <alignment vertical="center"/>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177" fontId="13" fillId="25" borderId="0" xfId="0" applyNumberFormat="1" applyFont="1" applyFill="1" applyBorder="1" applyAlignment="1">
      <alignment horizontal="left" vertical="center"/>
    </xf>
    <xf numFmtId="206" fontId="13" fillId="25" borderId="0" xfId="0" applyNumberFormat="1" applyFont="1" applyFill="1" applyBorder="1">
      <alignment vertical="center"/>
    </xf>
    <xf numFmtId="0" fontId="13" fillId="25" borderId="0" xfId="0" applyFont="1" applyFill="1" applyBorder="1" applyAlignment="1">
      <alignment horizontal="right" vertical="center"/>
    </xf>
    <xf numFmtId="38" fontId="13" fillId="25" borderId="0" xfId="35" applyFont="1" applyFill="1" applyBorder="1" applyAlignment="1">
      <alignment horizontal="right" vertical="center"/>
    </xf>
    <xf numFmtId="40" fontId="13" fillId="25" borderId="0" xfId="0" applyNumberFormat="1" applyFont="1" applyFill="1" applyBorder="1">
      <alignment vertical="center"/>
    </xf>
    <xf numFmtId="0" fontId="13" fillId="26" borderId="17" xfId="44" applyFont="1" applyFill="1" applyBorder="1" applyAlignment="1" applyProtection="1">
      <alignment horizontal="center" vertical="center"/>
    </xf>
    <xf numFmtId="180" fontId="13" fillId="26" borderId="10" xfId="44" applyNumberFormat="1" applyFont="1" applyFill="1" applyBorder="1" applyAlignment="1" applyProtection="1">
      <alignment horizontal="center" vertical="center"/>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8" xfId="35" applyNumberFormat="1" applyFont="1" applyFill="1" applyBorder="1" applyAlignment="1">
      <alignment horizontal="right" vertical="center"/>
    </xf>
    <xf numFmtId="177" fontId="13" fillId="25" borderId="0" xfId="44" applyNumberFormat="1" applyFont="1" applyFill="1" applyBorder="1" applyAlignment="1" applyProtection="1">
      <alignment horizontal="right" vertical="center"/>
    </xf>
    <xf numFmtId="0" fontId="153" fillId="25" borderId="0" xfId="44" applyFont="1" applyFill="1" applyBorder="1" applyAlignment="1" applyProtection="1">
      <alignment horizontal="left" vertical="center"/>
      <protection hidden="1"/>
    </xf>
    <xf numFmtId="177" fontId="153" fillId="25" borderId="10" xfId="44" applyNumberFormat="1" applyFont="1" applyFill="1" applyBorder="1" applyAlignment="1" applyProtection="1">
      <alignment vertical="center"/>
      <protection hidden="1"/>
    </xf>
    <xf numFmtId="187" fontId="153"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4" xfId="35" applyNumberFormat="1" applyFont="1" applyFill="1" applyBorder="1" applyAlignment="1">
      <alignment horizontal="right" vertical="center"/>
    </xf>
    <xf numFmtId="0" fontId="13" fillId="25" borderId="20" xfId="0" applyFont="1" applyFill="1" applyBorder="1">
      <alignment vertical="center"/>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72"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13" fillId="25" borderId="10" xfId="44" applyFont="1" applyFill="1" applyBorder="1" applyAlignment="1" applyProtection="1">
      <alignment horizontal="right"/>
    </xf>
    <xf numFmtId="0" fontId="0" fillId="0" borderId="10" xfId="0" applyNumberFormat="1" applyFont="1" applyFill="1" applyBorder="1" applyProtection="1">
      <alignment vertical="center"/>
      <protection hidden="1"/>
    </xf>
    <xf numFmtId="38" fontId="2" fillId="0" borderId="0" xfId="0" applyNumberFormat="1" applyFont="1" applyFill="1" applyBorder="1" applyProtection="1">
      <alignment vertical="center"/>
    </xf>
    <xf numFmtId="196" fontId="10" fillId="26" borderId="44" xfId="0" applyNumberFormat="1" applyFont="1" applyFill="1" applyBorder="1" applyAlignment="1" applyProtection="1">
      <alignment horizontal="center" vertical="center"/>
      <protection locked="0"/>
    </xf>
    <xf numFmtId="38" fontId="2" fillId="0" borderId="0" xfId="0" applyNumberFormat="1" applyFont="1" applyFill="1" applyBorder="1" applyAlignment="1" applyProtection="1">
      <alignment horizontal="center" vertical="center"/>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0" fillId="26" borderId="51" xfId="0" applyFont="1" applyFill="1" applyBorder="1" applyProtection="1">
      <alignment vertical="center"/>
    </xf>
    <xf numFmtId="0" fontId="13" fillId="26" borderId="42" xfId="44" applyFont="1" applyFill="1" applyBorder="1" applyAlignment="1" applyProtection="1">
      <alignment horizontal="center" vertical="center"/>
      <protection hidden="1"/>
    </xf>
    <xf numFmtId="0" fontId="3" fillId="41" borderId="0" xfId="0" applyFont="1" applyFill="1" applyBorder="1" applyProtection="1">
      <alignment vertical="center"/>
    </xf>
    <xf numFmtId="0" fontId="13" fillId="26" borderId="69" xfId="44" applyFont="1" applyFill="1" applyBorder="1" applyAlignment="1" applyProtection="1">
      <alignment horizontal="center" vertical="center"/>
      <protection hidden="1"/>
    </xf>
    <xf numFmtId="38" fontId="13" fillId="30" borderId="140" xfId="35" applyFont="1" applyFill="1" applyBorder="1" applyAlignment="1" applyProtection="1">
      <alignment horizontal="right" vertical="center"/>
      <protection locked="0"/>
    </xf>
    <xf numFmtId="38" fontId="66" fillId="25" borderId="42" xfId="35" applyFont="1" applyFill="1" applyBorder="1" applyProtection="1">
      <alignment vertical="center"/>
    </xf>
    <xf numFmtId="38" fontId="13" fillId="30" borderId="90" xfId="35" applyFont="1" applyFill="1" applyBorder="1" applyAlignment="1" applyProtection="1">
      <alignment horizontal="right" vertical="center"/>
      <protection locked="0"/>
    </xf>
    <xf numFmtId="38" fontId="66" fillId="43" borderId="42" xfId="35" applyFont="1" applyFill="1" applyBorder="1" applyProtection="1">
      <alignment vertical="center"/>
    </xf>
    <xf numFmtId="9" fontId="66" fillId="43" borderId="10" xfId="28" applyFont="1" applyFill="1" applyBorder="1" applyAlignment="1" applyProtection="1">
      <alignment vertical="center"/>
    </xf>
    <xf numFmtId="38" fontId="13" fillId="30" borderId="130" xfId="35" applyFont="1" applyFill="1" applyBorder="1" applyAlignment="1" applyProtection="1">
      <alignment horizontal="right" vertical="center"/>
      <protection locked="0"/>
    </xf>
    <xf numFmtId="0" fontId="13" fillId="25" borderId="70" xfId="0" applyFont="1" applyFill="1" applyBorder="1" applyProtection="1">
      <alignment vertical="center"/>
    </xf>
    <xf numFmtId="0" fontId="13" fillId="25" borderId="97" xfId="0" applyFont="1" applyFill="1" applyBorder="1" applyProtection="1">
      <alignment vertical="center"/>
    </xf>
    <xf numFmtId="0" fontId="27" fillId="25" borderId="0" xfId="0" applyFont="1" applyFill="1" applyBorder="1" applyProtection="1">
      <alignment vertical="center"/>
    </xf>
    <xf numFmtId="0" fontId="13" fillId="25" borderId="16" xfId="0" applyFont="1" applyFill="1" applyBorder="1" applyProtection="1">
      <alignment vertical="center"/>
    </xf>
    <xf numFmtId="0" fontId="13" fillId="25" borderId="11" xfId="0" applyFont="1" applyFill="1" applyBorder="1" applyProtection="1">
      <alignment vertical="center"/>
    </xf>
    <xf numFmtId="0" fontId="27" fillId="25" borderId="11" xfId="0" applyFont="1" applyFill="1" applyBorder="1" applyProtection="1">
      <alignment vertical="center"/>
    </xf>
    <xf numFmtId="38" fontId="13" fillId="30" borderId="44" xfId="35" applyFont="1" applyFill="1" applyBorder="1" applyAlignment="1" applyProtection="1">
      <alignment horizontal="center" vertical="center"/>
      <protection locked="0"/>
    </xf>
    <xf numFmtId="0" fontId="13" fillId="25" borderId="72" xfId="0" applyFont="1" applyFill="1" applyBorder="1" applyProtection="1">
      <alignment vertical="center"/>
    </xf>
    <xf numFmtId="0" fontId="27" fillId="25" borderId="21" xfId="0" applyFont="1" applyFill="1" applyBorder="1" applyProtection="1">
      <alignment vertical="center"/>
    </xf>
    <xf numFmtId="0" fontId="13" fillId="25" borderId="54" xfId="0" applyFont="1" applyFill="1" applyBorder="1" applyProtection="1">
      <alignment vertical="center"/>
    </xf>
    <xf numFmtId="0" fontId="3" fillId="0" borderId="11" xfId="44" applyFont="1" applyBorder="1" applyAlignment="1"/>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0" fontId="13" fillId="25" borderId="0" xfId="0" applyFont="1" applyFill="1" applyBorder="1" applyAlignment="1" applyProtection="1">
      <alignment horizontal="right" vertical="center"/>
    </xf>
    <xf numFmtId="0" fontId="13" fillId="25" borderId="0" xfId="0" applyFont="1" applyFill="1" applyBorder="1" applyAlignment="1">
      <alignment horizontal="center" vertical="center"/>
    </xf>
    <xf numFmtId="40" fontId="13" fillId="25" borderId="168" xfId="35" applyNumberFormat="1" applyFont="1" applyFill="1" applyBorder="1" applyAlignment="1" applyProtection="1">
      <alignment horizontal="right" vertical="center"/>
    </xf>
    <xf numFmtId="0" fontId="152" fillId="25" borderId="0" xfId="0" applyFont="1" applyFill="1" applyBorder="1" applyProtection="1">
      <alignment vertical="center"/>
    </xf>
    <xf numFmtId="0" fontId="13" fillId="25" borderId="0" xfId="0" applyFont="1" applyFill="1" applyBorder="1" applyAlignment="1" applyProtection="1">
      <alignment horizontal="left" vertical="center"/>
    </xf>
    <xf numFmtId="9" fontId="13" fillId="25" borderId="168"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10" xfId="0" applyNumberFormat="1" applyFont="1" applyFill="1" applyBorder="1">
      <alignment vertical="center"/>
    </xf>
    <xf numFmtId="38" fontId="13" fillId="25" borderId="0" xfId="0" applyNumberFormat="1" applyFont="1" applyFill="1" applyBorder="1">
      <alignment vertical="center"/>
    </xf>
    <xf numFmtId="178" fontId="2" fillId="25" borderId="0" xfId="44" applyNumberFormat="1" applyFont="1" applyFill="1" applyBorder="1" applyAlignment="1" applyProtection="1">
      <alignment horizontal="right" vertical="center"/>
    </xf>
    <xf numFmtId="176" fontId="64" fillId="0" borderId="0" xfId="0" applyNumberFormat="1" applyFont="1" applyFill="1" applyBorder="1" applyAlignment="1" applyProtection="1">
      <alignment horizontal="center" vertical="center"/>
      <protection hidden="1"/>
    </xf>
    <xf numFmtId="0" fontId="13" fillId="25" borderId="10" xfId="44" applyFont="1" applyFill="1" applyBorder="1" applyAlignment="1" applyProtection="1">
      <alignment vertical="center"/>
    </xf>
    <xf numFmtId="0" fontId="3" fillId="25" borderId="0" xfId="44" applyFont="1" applyFill="1" applyBorder="1" applyAlignment="1" applyProtection="1">
      <alignment vertical="center"/>
    </xf>
    <xf numFmtId="0" fontId="0" fillId="25" borderId="0" xfId="44" applyFont="1" applyFill="1" applyBorder="1" applyAlignment="1" applyProtection="1">
      <alignment vertical="center"/>
    </xf>
    <xf numFmtId="0" fontId="13" fillId="26" borderId="173" xfId="44" applyFont="1" applyFill="1" applyBorder="1" applyAlignment="1" applyProtection="1">
      <alignment horizontal="center" vertical="center"/>
    </xf>
    <xf numFmtId="38" fontId="2" fillId="25" borderId="171" xfId="35" applyFont="1" applyFill="1" applyBorder="1" applyAlignment="1" applyProtection="1">
      <alignment horizontal="center" vertical="center"/>
    </xf>
    <xf numFmtId="0" fontId="13" fillId="45" borderId="51" xfId="44" applyFont="1" applyFill="1" applyBorder="1" applyAlignment="1"/>
    <xf numFmtId="0" fontId="13" fillId="45" borderId="42" xfId="44" applyFont="1" applyFill="1" applyBorder="1" applyAlignment="1"/>
    <xf numFmtId="0" fontId="3" fillId="46" borderId="51" xfId="0" applyFont="1" applyFill="1" applyBorder="1" applyProtection="1">
      <alignment vertical="center"/>
    </xf>
    <xf numFmtId="0" fontId="3" fillId="46" borderId="97" xfId="0" applyFont="1" applyFill="1" applyBorder="1" applyProtection="1">
      <alignment vertical="center"/>
    </xf>
    <xf numFmtId="0" fontId="10" fillId="46" borderId="51" xfId="0" applyFont="1" applyFill="1" applyBorder="1" applyProtection="1">
      <alignment vertical="center"/>
    </xf>
    <xf numFmtId="38" fontId="13" fillId="25" borderId="10" xfId="44" applyNumberFormat="1" applyFont="1" applyFill="1" applyBorder="1" applyAlignment="1" applyProtection="1">
      <alignment vertical="center"/>
    </xf>
    <xf numFmtId="2" fontId="68" fillId="25" borderId="10" xfId="44" applyNumberFormat="1" applyFont="1" applyFill="1" applyBorder="1" applyAlignment="1" applyProtection="1">
      <alignment vertical="center"/>
    </xf>
    <xf numFmtId="0" fontId="13" fillId="46" borderId="0" xfId="0" applyFont="1" applyFill="1" applyProtection="1">
      <alignment vertical="center"/>
    </xf>
    <xf numFmtId="178" fontId="13" fillId="46" borderId="10" xfId="0" applyNumberFormat="1" applyFont="1" applyFill="1" applyBorder="1" applyAlignment="1" applyProtection="1">
      <alignment horizontal="right" vertical="center"/>
    </xf>
    <xf numFmtId="178" fontId="13" fillId="46" borderId="10" xfId="0" applyNumberFormat="1" applyFont="1" applyFill="1" applyBorder="1" applyProtection="1">
      <alignment vertical="center"/>
    </xf>
    <xf numFmtId="0" fontId="13" fillId="46" borderId="10" xfId="0" applyFont="1" applyFill="1" applyBorder="1" applyAlignment="1" applyProtection="1">
      <alignment vertical="center" wrapText="1"/>
    </xf>
    <xf numFmtId="0" fontId="13" fillId="46" borderId="10" xfId="0" applyFont="1" applyFill="1" applyBorder="1" applyAlignment="1" applyProtection="1">
      <alignment horizontal="right" vertical="center"/>
    </xf>
    <xf numFmtId="178" fontId="13" fillId="25" borderId="17" xfId="0" applyNumberFormat="1" applyFont="1" applyFill="1" applyBorder="1" applyAlignment="1" applyProtection="1">
      <alignment horizontal="right" vertical="center"/>
    </xf>
    <xf numFmtId="0" fontId="13" fillId="25" borderId="72" xfId="0" applyFont="1" applyFill="1" applyBorder="1" applyAlignment="1" applyProtection="1">
      <alignment horizontal="center" vertical="center" wrapText="1"/>
    </xf>
    <xf numFmtId="0" fontId="13" fillId="25" borderId="21" xfId="0" applyFont="1" applyFill="1" applyBorder="1" applyAlignment="1" applyProtection="1">
      <alignment horizontal="center" vertical="center" wrapText="1"/>
    </xf>
    <xf numFmtId="38" fontId="13" fillId="44" borderId="140" xfId="35" applyFont="1" applyFill="1" applyBorder="1" applyAlignment="1" applyProtection="1"/>
    <xf numFmtId="38" fontId="13" fillId="44" borderId="90" xfId="35" applyFont="1" applyFill="1" applyBorder="1" applyAlignment="1" applyProtection="1"/>
    <xf numFmtId="38" fontId="13" fillId="44" borderId="130" xfId="35" applyFont="1" applyFill="1" applyBorder="1" applyAlignment="1" applyProtection="1"/>
    <xf numFmtId="180" fontId="13" fillId="25" borderId="0" xfId="44" applyNumberFormat="1" applyFont="1" applyFill="1" applyBorder="1" applyAlignment="1" applyProtection="1">
      <alignment vertical="center"/>
    </xf>
    <xf numFmtId="0" fontId="27" fillId="0" borderId="0" xfId="0" applyFont="1">
      <alignment vertical="center"/>
    </xf>
    <xf numFmtId="0" fontId="30" fillId="31" borderId="78" xfId="0" applyFont="1" applyFill="1" applyBorder="1" applyAlignment="1" applyProtection="1">
      <alignment vertical="center"/>
    </xf>
    <xf numFmtId="38" fontId="13" fillId="30" borderId="86" xfId="35" applyFont="1" applyFill="1" applyBorder="1" applyAlignment="1" applyProtection="1">
      <alignment horizontal="right" vertical="center"/>
      <protection locked="0"/>
    </xf>
    <xf numFmtId="0" fontId="27" fillId="0" borderId="0" xfId="0" applyFont="1" applyFill="1" applyAlignment="1" applyProtection="1"/>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3" fillId="47" borderId="0" xfId="0" applyFont="1" applyFill="1" applyProtection="1">
      <alignment vertical="center"/>
    </xf>
    <xf numFmtId="0" fontId="3" fillId="41" borderId="0" xfId="0" applyFont="1" applyFill="1" applyBorder="1" applyAlignment="1" applyProtection="1">
      <alignment horizontal="left" vertical="center" wrapText="1"/>
    </xf>
    <xf numFmtId="0" fontId="13" fillId="25" borderId="69" xfId="0" applyFont="1" applyFill="1" applyBorder="1" applyProtection="1">
      <alignment vertical="center"/>
    </xf>
    <xf numFmtId="0" fontId="13" fillId="25" borderId="23" xfId="0" applyFont="1" applyFill="1" applyBorder="1" applyProtection="1">
      <alignment vertical="center"/>
    </xf>
    <xf numFmtId="0" fontId="3" fillId="0" borderId="0" xfId="0" applyFont="1" applyFill="1" applyBorder="1" applyAlignment="1" applyProtection="1">
      <alignment horizontal="left" vertical="center"/>
      <protection hidden="1"/>
    </xf>
    <xf numFmtId="0" fontId="13" fillId="25" borderId="0" xfId="0" quotePrefix="1" applyFont="1" applyFill="1" applyBorder="1" applyProtection="1">
      <alignment vertical="center"/>
    </xf>
    <xf numFmtId="0" fontId="13" fillId="25" borderId="21" xfId="0" quotePrefix="1" applyFont="1" applyFill="1" applyBorder="1" applyProtection="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208" fontId="13" fillId="0" borderId="10" xfId="28" applyNumberFormat="1" applyFont="1" applyBorder="1" applyAlignment="1"/>
    <xf numFmtId="0" fontId="13" fillId="0" borderId="97" xfId="44" applyFont="1" applyBorder="1" applyAlignment="1">
      <alignment horizontal="right"/>
    </xf>
    <xf numFmtId="3" fontId="23" fillId="0" borderId="0" xfId="0" applyNumberFormat="1" applyFont="1" applyFill="1" applyBorder="1" applyAlignment="1" applyProtection="1">
      <alignment horizontal="left" vertical="center"/>
      <protection locked="0"/>
    </xf>
    <xf numFmtId="0" fontId="3" fillId="24" borderId="0"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center" vertical="center" wrapText="1"/>
      <protection hidden="1"/>
    </xf>
    <xf numFmtId="0" fontId="3" fillId="25" borderId="14" xfId="0"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protection hidden="1"/>
    </xf>
    <xf numFmtId="0" fontId="27" fillId="28" borderId="53" xfId="0" applyNumberFormat="1" applyFont="1" applyFill="1" applyBorder="1" applyAlignment="1" applyProtection="1">
      <alignment horizontal="center" vertical="center"/>
      <protection hidden="1"/>
    </xf>
    <xf numFmtId="0" fontId="27" fillId="28" borderId="26" xfId="0" applyNumberFormat="1" applyFont="1" applyFill="1" applyBorder="1" applyAlignment="1" applyProtection="1">
      <alignment horizontal="left" vertical="center"/>
      <protection hidden="1"/>
    </xf>
    <xf numFmtId="0" fontId="35" fillId="25" borderId="20" xfId="0" applyFont="1" applyFill="1" applyBorder="1" applyAlignment="1" applyProtection="1">
      <alignment horizontal="center" vertical="center"/>
      <protection hidden="1"/>
    </xf>
    <xf numFmtId="0" fontId="35" fillId="25" borderId="23" xfId="0" applyFont="1" applyFill="1" applyBorder="1" applyAlignment="1" applyProtection="1">
      <alignment horizontal="center" vertical="center"/>
      <protection hidden="1"/>
    </xf>
    <xf numFmtId="0" fontId="35" fillId="25" borderId="22" xfId="0" applyFont="1" applyFill="1" applyBorder="1" applyAlignment="1" applyProtection="1">
      <alignment horizontal="center" vertical="center" wrapText="1"/>
      <protection hidden="1"/>
    </xf>
    <xf numFmtId="182" fontId="35" fillId="27" borderId="20" xfId="0" applyNumberFormat="1" applyFont="1" applyFill="1" applyBorder="1" applyAlignment="1" applyProtection="1">
      <alignment horizontal="center" vertical="center"/>
      <protection hidden="1"/>
    </xf>
    <xf numFmtId="182" fontId="35" fillId="27" borderId="23" xfId="0" applyNumberFormat="1" applyFont="1" applyFill="1" applyBorder="1" applyAlignment="1" applyProtection="1">
      <alignment horizontal="center" vertical="center"/>
      <protection hidden="1"/>
    </xf>
    <xf numFmtId="0" fontId="7" fillId="35" borderId="67" xfId="0" applyNumberFormat="1" applyFont="1" applyFill="1" applyBorder="1" applyAlignment="1" applyProtection="1">
      <alignment horizontal="center" vertical="center"/>
      <protection hidden="1"/>
    </xf>
    <xf numFmtId="0" fontId="7" fillId="35" borderId="60" xfId="0" applyNumberFormat="1" applyFont="1" applyFill="1" applyBorder="1" applyAlignment="1" applyProtection="1">
      <alignment horizontal="left" vertical="center"/>
      <protection hidden="1"/>
    </xf>
    <xf numFmtId="0" fontId="35" fillId="25" borderId="122" xfId="0" applyFont="1" applyFill="1" applyBorder="1" applyAlignment="1" applyProtection="1">
      <alignment horizontal="center" vertical="center" wrapText="1"/>
      <protection hidden="1"/>
    </xf>
    <xf numFmtId="0" fontId="35" fillId="0" borderId="20" xfId="0" applyFont="1" applyFill="1" applyBorder="1" applyAlignment="1" applyProtection="1">
      <alignment horizontal="center" vertical="center"/>
      <protection hidden="1"/>
    </xf>
    <xf numFmtId="0" fontId="7" fillId="0" borderId="23" xfId="0" applyFont="1" applyFill="1" applyBorder="1" applyAlignment="1" applyProtection="1">
      <alignment vertical="center"/>
      <protection hidden="1"/>
    </xf>
    <xf numFmtId="0" fontId="7" fillId="0" borderId="73" xfId="0" applyFont="1" applyFill="1" applyBorder="1" applyAlignment="1" applyProtection="1">
      <alignment horizontal="center" vertical="center"/>
      <protection hidden="1"/>
    </xf>
    <xf numFmtId="0" fontId="7" fillId="0" borderId="77" xfId="0" applyFont="1" applyFill="1" applyBorder="1" applyAlignment="1" applyProtection="1">
      <alignment vertical="center"/>
      <protection hidden="1"/>
    </xf>
    <xf numFmtId="0" fontId="7" fillId="0" borderId="20" xfId="0" applyFont="1" applyFill="1" applyBorder="1" applyAlignment="1" applyProtection="1">
      <alignment horizontal="center" vertical="center"/>
      <protection hidden="1"/>
    </xf>
    <xf numFmtId="0" fontId="7" fillId="48" borderId="20" xfId="0" applyFont="1" applyFill="1" applyBorder="1" applyAlignment="1" applyProtection="1">
      <alignment horizontal="center" vertical="center"/>
      <protection hidden="1"/>
    </xf>
    <xf numFmtId="0" fontId="7" fillId="48" borderId="23" xfId="0" applyFont="1" applyFill="1" applyBorder="1" applyAlignment="1" applyProtection="1">
      <alignment horizontal="left" vertical="center"/>
      <protection hidden="1"/>
    </xf>
    <xf numFmtId="0" fontId="7" fillId="0" borderId="90" xfId="0" applyFont="1" applyFill="1" applyBorder="1" applyAlignment="1" applyProtection="1">
      <alignment horizontal="center" vertical="center"/>
      <protection hidden="1"/>
    </xf>
    <xf numFmtId="0" fontId="7" fillId="0" borderId="90" xfId="0" applyFont="1" applyFill="1" applyBorder="1" applyAlignment="1" applyProtection="1">
      <alignment vertical="center"/>
      <protection hidden="1"/>
    </xf>
    <xf numFmtId="0" fontId="7" fillId="0" borderId="22" xfId="0" applyFont="1" applyFill="1" applyBorder="1" applyAlignment="1" applyProtection="1">
      <alignment horizontal="center" vertical="center"/>
      <protection hidden="1"/>
    </xf>
    <xf numFmtId="0" fontId="7" fillId="0" borderId="122" xfId="0" applyFont="1" applyFill="1" applyBorder="1" applyAlignment="1" applyProtection="1">
      <alignment vertical="center"/>
      <protection hidden="1"/>
    </xf>
    <xf numFmtId="0" fontId="7" fillId="0" borderId="82" xfId="0" applyFont="1" applyFill="1" applyBorder="1" applyAlignment="1" applyProtection="1">
      <alignment horizontal="center" vertical="center"/>
      <protection hidden="1"/>
    </xf>
    <xf numFmtId="0" fontId="7" fillId="0" borderId="113" xfId="0" applyFont="1" applyFill="1" applyBorder="1" applyAlignment="1" applyProtection="1">
      <alignment vertical="center"/>
      <protection hidden="1"/>
    </xf>
    <xf numFmtId="0" fontId="7" fillId="35" borderId="76" xfId="0" applyFont="1" applyFill="1" applyBorder="1" applyAlignment="1" applyProtection="1">
      <alignment horizontal="center" vertical="center"/>
      <protection hidden="1"/>
    </xf>
    <xf numFmtId="0" fontId="7" fillId="35" borderId="74" xfId="0" applyFont="1" applyFill="1" applyBorder="1" applyAlignment="1" applyProtection="1">
      <alignment vertical="center"/>
      <protection hidden="1"/>
    </xf>
    <xf numFmtId="0" fontId="7" fillId="0" borderId="126" xfId="0" applyFont="1" applyFill="1" applyBorder="1" applyAlignment="1" applyProtection="1">
      <alignment horizontal="center" vertical="center"/>
      <protection hidden="1"/>
    </xf>
    <xf numFmtId="0" fontId="7" fillId="0" borderId="126" xfId="0" applyFont="1" applyFill="1" applyBorder="1" applyAlignment="1" applyProtection="1">
      <alignment vertical="center"/>
      <protection hidden="1"/>
    </xf>
    <xf numFmtId="0" fontId="7" fillId="48" borderId="225" xfId="0" applyFont="1" applyFill="1" applyBorder="1" applyAlignment="1" applyProtection="1">
      <alignment horizontal="center" vertical="center"/>
      <protection hidden="1"/>
    </xf>
    <xf numFmtId="0" fontId="7" fillId="48" borderId="225" xfId="0" applyFont="1" applyFill="1" applyBorder="1" applyAlignment="1" applyProtection="1">
      <alignment horizontal="left" vertical="center"/>
      <protection hidden="1"/>
    </xf>
    <xf numFmtId="0" fontId="7" fillId="48" borderId="226" xfId="0" applyFont="1" applyFill="1" applyBorder="1" applyAlignment="1" applyProtection="1">
      <alignment horizontal="center" vertical="center"/>
      <protection hidden="1"/>
    </xf>
    <xf numFmtId="0" fontId="7" fillId="48" borderId="226" xfId="0" applyFont="1" applyFill="1" applyBorder="1" applyAlignment="1" applyProtection="1">
      <alignment horizontal="left" vertical="center"/>
      <protection hidden="1"/>
    </xf>
    <xf numFmtId="0" fontId="7" fillId="48" borderId="227" xfId="0" applyNumberFormat="1" applyFont="1" applyFill="1" applyBorder="1" applyAlignment="1" applyProtection="1">
      <alignment horizontal="center" vertical="center"/>
      <protection hidden="1"/>
    </xf>
    <xf numFmtId="0" fontId="7" fillId="48" borderId="227" xfId="0" applyNumberFormat="1" applyFont="1" applyFill="1" applyBorder="1" applyAlignment="1" applyProtection="1">
      <alignment horizontal="left" vertical="center"/>
      <protection hidden="1"/>
    </xf>
    <xf numFmtId="0" fontId="7" fillId="0" borderId="20" xfId="0" applyNumberFormat="1" applyFont="1" applyFill="1" applyBorder="1" applyAlignment="1" applyProtection="1">
      <alignment horizontal="center" vertical="center"/>
      <protection hidden="1"/>
    </xf>
    <xf numFmtId="0" fontId="7" fillId="0" borderId="23" xfId="0" applyNumberFormat="1" applyFont="1" applyFill="1" applyBorder="1" applyAlignment="1" applyProtection="1">
      <alignment horizontal="left" vertical="center"/>
      <protection hidden="1"/>
    </xf>
    <xf numFmtId="0" fontId="7" fillId="48" borderId="228" xfId="0" applyFont="1" applyFill="1" applyBorder="1" applyAlignment="1" applyProtection="1">
      <alignment horizontal="center" vertical="center"/>
      <protection hidden="1"/>
    </xf>
    <xf numFmtId="0" fontId="7" fillId="48" borderId="228" xfId="0" applyFont="1" applyFill="1" applyBorder="1" applyAlignment="1" applyProtection="1">
      <alignment horizontal="left" vertical="center"/>
      <protection hidden="1"/>
    </xf>
    <xf numFmtId="0" fontId="7" fillId="48" borderId="84" xfId="0" applyFont="1" applyFill="1" applyBorder="1" applyAlignment="1" applyProtection="1">
      <alignment horizontal="center" vertical="center"/>
      <protection hidden="1"/>
    </xf>
    <xf numFmtId="0" fontId="7" fillId="48" borderId="84" xfId="0" applyFont="1" applyFill="1" applyBorder="1" applyAlignment="1" applyProtection="1">
      <alignment horizontal="left" vertical="center"/>
      <protection hidden="1"/>
    </xf>
    <xf numFmtId="0" fontId="7" fillId="35" borderId="93" xfId="0" applyNumberFormat="1" applyFont="1" applyFill="1" applyBorder="1" applyAlignment="1" applyProtection="1">
      <alignment horizontal="center" vertical="center"/>
      <protection hidden="1"/>
    </xf>
    <xf numFmtId="0" fontId="7" fillId="35" borderId="93" xfId="0" applyNumberFormat="1" applyFont="1" applyFill="1" applyBorder="1" applyAlignment="1" applyProtection="1">
      <alignment horizontal="left" vertical="center"/>
      <protection hidden="1"/>
    </xf>
    <xf numFmtId="0" fontId="7" fillId="49" borderId="20" xfId="0" applyFont="1" applyFill="1" applyBorder="1" applyAlignment="1" applyProtection="1">
      <alignment horizontal="center" vertical="center"/>
      <protection hidden="1"/>
    </xf>
    <xf numFmtId="0" fontId="7" fillId="49" borderId="23" xfId="0" applyFont="1" applyFill="1" applyBorder="1" applyAlignment="1" applyProtection="1">
      <alignment vertical="center" wrapText="1"/>
      <protection hidden="1"/>
    </xf>
    <xf numFmtId="0" fontId="7" fillId="0" borderId="71" xfId="0" applyFont="1" applyFill="1" applyBorder="1" applyAlignment="1" applyProtection="1">
      <alignment horizontal="center" vertical="center"/>
      <protection hidden="1"/>
    </xf>
    <xf numFmtId="0" fontId="7" fillId="0" borderId="41" xfId="0" applyFont="1" applyFill="1" applyBorder="1" applyAlignment="1" applyProtection="1">
      <alignment vertical="center"/>
      <protection hidden="1"/>
    </xf>
    <xf numFmtId="0" fontId="7" fillId="48" borderId="23" xfId="0" applyFont="1" applyFill="1" applyBorder="1" applyAlignment="1" applyProtection="1">
      <alignment horizontal="left" vertical="center" wrapText="1"/>
      <protection hidden="1"/>
    </xf>
    <xf numFmtId="0" fontId="7" fillId="48" borderId="71" xfId="0" applyFont="1" applyFill="1" applyBorder="1" applyAlignment="1" applyProtection="1">
      <alignment horizontal="center" vertical="center"/>
      <protection hidden="1"/>
    </xf>
    <xf numFmtId="0" fontId="7" fillId="48" borderId="41" xfId="0" applyFont="1" applyFill="1" applyBorder="1" applyAlignment="1" applyProtection="1">
      <alignment vertical="center"/>
      <protection hidden="1"/>
    </xf>
    <xf numFmtId="0" fontId="7" fillId="48" borderId="23" xfId="0" applyFont="1" applyFill="1" applyBorder="1" applyAlignment="1" applyProtection="1">
      <alignment vertical="center"/>
      <protection hidden="1"/>
    </xf>
    <xf numFmtId="0" fontId="7" fillId="27" borderId="80" xfId="0" applyNumberFormat="1" applyFont="1" applyFill="1" applyBorder="1" applyAlignment="1" applyProtection="1">
      <alignment horizontal="center" vertical="center"/>
      <protection hidden="1"/>
    </xf>
    <xf numFmtId="0" fontId="7" fillId="27" borderId="78" xfId="0" applyNumberFormat="1" applyFont="1" applyFill="1" applyBorder="1" applyAlignment="1" applyProtection="1">
      <alignment horizontal="left" vertical="center"/>
      <protection hidden="1"/>
    </xf>
    <xf numFmtId="0" fontId="7" fillId="48" borderId="229" xfId="0" applyFont="1" applyFill="1" applyBorder="1" applyAlignment="1" applyProtection="1">
      <alignment horizontal="center" vertical="center"/>
      <protection hidden="1"/>
    </xf>
    <xf numFmtId="0" fontId="7" fillId="48" borderId="229" xfId="0" applyFont="1" applyFill="1" applyBorder="1" applyAlignment="1" applyProtection="1">
      <alignment horizontal="left" vertical="center"/>
      <protection hidden="1"/>
    </xf>
    <xf numFmtId="0" fontId="7" fillId="35" borderId="60" xfId="0" applyNumberFormat="1" applyFont="1" applyFill="1" applyBorder="1" applyAlignment="1" applyProtection="1">
      <alignment horizontal="right" vertical="center"/>
      <protection hidden="1"/>
    </xf>
    <xf numFmtId="0" fontId="7" fillId="0" borderId="23" xfId="0" applyFont="1" applyFill="1" applyBorder="1" applyAlignment="1" applyProtection="1">
      <alignment horizontal="right" vertical="center"/>
      <protection hidden="1"/>
    </xf>
    <xf numFmtId="0" fontId="7" fillId="0" borderId="41" xfId="0" applyFont="1" applyFill="1" applyBorder="1" applyAlignment="1" applyProtection="1">
      <alignment horizontal="right" vertical="center"/>
      <protection hidden="1"/>
    </xf>
    <xf numFmtId="0" fontId="7" fillId="35" borderId="76" xfId="0" applyNumberFormat="1" applyFont="1" applyFill="1" applyBorder="1" applyAlignment="1" applyProtection="1">
      <alignment horizontal="center" vertical="center"/>
      <protection hidden="1"/>
    </xf>
    <xf numFmtId="0" fontId="7" fillId="35" borderId="74" xfId="0" applyNumberFormat="1" applyFont="1" applyFill="1" applyBorder="1" applyAlignment="1" applyProtection="1">
      <alignment horizontal="left" vertical="center"/>
      <protection hidden="1"/>
    </xf>
    <xf numFmtId="0" fontId="7" fillId="48" borderId="229" xfId="0" applyFont="1" applyFill="1" applyBorder="1" applyAlignment="1" applyProtection="1">
      <alignment horizontal="center" vertical="center" wrapText="1"/>
      <protection hidden="1"/>
    </xf>
    <xf numFmtId="0" fontId="7" fillId="48" borderId="229" xfId="0" applyFont="1" applyFill="1" applyBorder="1" applyAlignment="1" applyProtection="1">
      <alignment horizontal="left" vertical="center" wrapText="1"/>
      <protection hidden="1"/>
    </xf>
    <xf numFmtId="0" fontId="7" fillId="48" borderId="227" xfId="0" applyFont="1" applyFill="1" applyBorder="1" applyAlignment="1" applyProtection="1">
      <alignment horizontal="center" vertical="center"/>
      <protection hidden="1"/>
    </xf>
    <xf numFmtId="0" fontId="7" fillId="48" borderId="227" xfId="0" applyFont="1" applyFill="1" applyBorder="1" applyAlignment="1" applyProtection="1">
      <alignment horizontal="left" vertical="center"/>
      <protection hidden="1"/>
    </xf>
    <xf numFmtId="0" fontId="7" fillId="48" borderId="226" xfId="0" applyFont="1" applyFill="1" applyBorder="1" applyAlignment="1" applyProtection="1">
      <alignment horizontal="left" vertical="center" wrapText="1"/>
      <protection hidden="1"/>
    </xf>
    <xf numFmtId="0" fontId="7" fillId="48" borderId="228" xfId="0" applyFont="1" applyFill="1" applyBorder="1" applyAlignment="1" applyProtection="1">
      <alignment horizontal="left" vertical="center" wrapText="1"/>
      <protection hidden="1"/>
    </xf>
    <xf numFmtId="0" fontId="7" fillId="48" borderId="225" xfId="0" applyFont="1" applyFill="1" applyBorder="1" applyAlignment="1" applyProtection="1">
      <alignment vertical="center"/>
      <protection hidden="1"/>
    </xf>
    <xf numFmtId="0" fontId="7" fillId="48" borderId="230" xfId="0" applyFont="1" applyFill="1" applyBorder="1" applyAlignment="1" applyProtection="1">
      <alignment horizontal="center" vertical="center"/>
      <protection hidden="1"/>
    </xf>
    <xf numFmtId="0" fontId="7" fillId="48" borderId="230" xfId="0" applyFont="1" applyFill="1" applyBorder="1" applyAlignment="1" applyProtection="1">
      <alignment horizontal="left" vertical="center"/>
      <protection hidden="1"/>
    </xf>
    <xf numFmtId="0" fontId="35" fillId="24" borderId="0" xfId="0" applyFont="1" applyFill="1" applyBorder="1" applyAlignment="1" applyProtection="1">
      <alignment horizontal="left" vertical="center"/>
      <protection hidden="1"/>
    </xf>
    <xf numFmtId="0" fontId="0" fillId="0" borderId="0" xfId="0" applyFont="1" applyBorder="1" applyAlignment="1" applyProtection="1">
      <alignment vertical="center"/>
      <protection hidden="1"/>
    </xf>
    <xf numFmtId="38" fontId="0" fillId="0" borderId="0" xfId="0" applyNumberFormat="1" applyFont="1" applyFill="1" applyBorder="1" applyAlignment="1" applyProtection="1">
      <alignment horizontal="center" vertical="center"/>
      <protection hidden="1"/>
    </xf>
    <xf numFmtId="0" fontId="0" fillId="0" borderId="0" xfId="0" applyFont="1" applyFill="1" applyProtection="1">
      <alignment vertical="center"/>
      <protection hidden="1"/>
    </xf>
    <xf numFmtId="201" fontId="10" fillId="26" borderId="44" xfId="0" applyNumberFormat="1" applyFont="1" applyFill="1" applyBorder="1" applyAlignment="1" applyProtection="1">
      <alignment horizontal="center" vertical="center"/>
      <protection locked="0"/>
    </xf>
    <xf numFmtId="0" fontId="5" fillId="26" borderId="88" xfId="0" applyFont="1" applyFill="1" applyBorder="1" applyAlignment="1" applyProtection="1">
      <alignment horizontal="center" vertical="center"/>
      <protection locked="0"/>
    </xf>
    <xf numFmtId="0" fontId="0" fillId="0" borderId="0" xfId="0" applyFont="1" applyProtection="1">
      <alignment vertical="center"/>
      <protection hidden="1"/>
    </xf>
    <xf numFmtId="201" fontId="10" fillId="26" borderId="44" xfId="0" quotePrefix="1"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vertical="center"/>
      <protection hidden="1"/>
    </xf>
    <xf numFmtId="38" fontId="3" fillId="0" borderId="10" xfId="48" applyFont="1" applyFill="1" applyBorder="1" applyAlignment="1" applyProtection="1">
      <alignment horizontal="center" vertical="center"/>
      <protection hidden="1"/>
    </xf>
    <xf numFmtId="38" fontId="10" fillId="0" borderId="10" xfId="48" applyFont="1" applyFill="1" applyBorder="1" applyAlignment="1" applyProtection="1">
      <alignment horizontal="center" vertical="center"/>
      <protection hidden="1"/>
    </xf>
    <xf numFmtId="179" fontId="1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195" fontId="3" fillId="0" borderId="10" xfId="48" applyNumberFormat="1" applyFont="1" applyFill="1" applyBorder="1" applyAlignment="1" applyProtection="1">
      <alignment horizontal="center" vertical="center"/>
      <protection hidden="1"/>
    </xf>
    <xf numFmtId="201" fontId="10" fillId="26" borderId="103" xfId="0" applyNumberFormat="1"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wrapText="1"/>
      <protection hidden="1"/>
    </xf>
    <xf numFmtId="38" fontId="3" fillId="0" borderId="70" xfId="48" applyFont="1" applyFill="1" applyBorder="1" applyAlignment="1" applyProtection="1">
      <alignment horizontal="center" vertical="center"/>
      <protection hidden="1"/>
    </xf>
    <xf numFmtId="38" fontId="10" fillId="0" borderId="70" xfId="48" applyFont="1" applyFill="1" applyBorder="1" applyAlignment="1" applyProtection="1">
      <alignment horizontal="center" vertical="center"/>
      <protection hidden="1"/>
    </xf>
    <xf numFmtId="178" fontId="10" fillId="0" borderId="70" xfId="0" quotePrefix="1" applyNumberFormat="1" applyFont="1" applyFill="1" applyBorder="1" applyAlignment="1" applyProtection="1">
      <alignment horizontal="center" vertical="center"/>
      <protection hidden="1"/>
    </xf>
    <xf numFmtId="178" fontId="10" fillId="0" borderId="70" xfId="0" applyNumberFormat="1" applyFont="1" applyFill="1" applyBorder="1" applyAlignment="1" applyProtection="1">
      <alignment horizontal="center" vertical="center"/>
      <protection hidden="1"/>
    </xf>
    <xf numFmtId="196" fontId="3" fillId="26" borderId="104" xfId="0" applyNumberFormat="1" applyFont="1" applyFill="1" applyBorder="1" applyAlignment="1" applyProtection="1">
      <alignment horizontal="center" vertical="center"/>
      <protection hidden="1"/>
    </xf>
    <xf numFmtId="0" fontId="3" fillId="25" borderId="167" xfId="0" applyFont="1" applyFill="1" applyBorder="1" applyAlignment="1" applyProtection="1">
      <alignment horizontal="center" vertical="center" wrapText="1"/>
      <protection hidden="1"/>
    </xf>
    <xf numFmtId="38" fontId="3" fillId="0" borderId="0" xfId="48" applyFont="1" applyFill="1" applyBorder="1" applyAlignment="1" applyProtection="1">
      <alignment horizontal="center" vertical="center"/>
      <protection hidden="1"/>
    </xf>
    <xf numFmtId="38" fontId="10" fillId="0" borderId="0" xfId="48" applyFont="1" applyFill="1" applyBorder="1" applyAlignment="1" applyProtection="1">
      <alignment horizontal="center" vertical="center"/>
      <protection hidden="1"/>
    </xf>
    <xf numFmtId="196" fontId="3" fillId="25" borderId="72" xfId="0" applyNumberFormat="1" applyFont="1" applyFill="1" applyBorder="1" applyAlignment="1" applyProtection="1">
      <alignment horizontal="center" vertical="center"/>
      <protection hidden="1"/>
    </xf>
    <xf numFmtId="0" fontId="0" fillId="25" borderId="42" xfId="0" applyFont="1" applyFill="1" applyBorder="1" applyAlignment="1" applyProtection="1">
      <alignment vertical="center" wrapText="1"/>
      <protection hidden="1"/>
    </xf>
    <xf numFmtId="0" fontId="3" fillId="25" borderId="42" xfId="0" applyFont="1" applyFill="1" applyBorder="1" applyAlignment="1" applyProtection="1">
      <alignment horizontal="right" vertical="center" wrapText="1"/>
      <protection hidden="1"/>
    </xf>
    <xf numFmtId="0" fontId="10" fillId="25" borderId="42" xfId="0" applyFont="1" applyFill="1" applyBorder="1" applyAlignment="1" applyProtection="1">
      <alignment vertical="center" wrapText="1"/>
      <protection hidden="1"/>
    </xf>
    <xf numFmtId="0" fontId="3" fillId="22" borderId="17" xfId="0" applyFont="1" applyFill="1" applyBorder="1" applyAlignment="1" applyProtection="1">
      <alignment vertical="center" wrapText="1"/>
      <protection hidden="1"/>
    </xf>
    <xf numFmtId="0" fontId="5" fillId="26" borderId="103" xfId="0" applyFont="1" applyFill="1" applyBorder="1" applyAlignment="1" applyProtection="1">
      <alignment horizontal="center" vertical="center"/>
      <protection hidden="1"/>
    </xf>
    <xf numFmtId="0" fontId="3" fillId="25" borderId="18" xfId="0" applyFont="1" applyFill="1" applyBorder="1" applyAlignment="1" applyProtection="1">
      <alignment horizontal="center" vertical="center" wrapText="1"/>
      <protection hidden="1"/>
    </xf>
    <xf numFmtId="0" fontId="5" fillId="26" borderId="117" xfId="0" applyFont="1" applyFill="1" applyBorder="1" applyAlignment="1" applyProtection="1">
      <alignment horizontal="center" vertical="center"/>
      <protection hidden="1"/>
    </xf>
    <xf numFmtId="0" fontId="3" fillId="25" borderId="231" xfId="0" applyFont="1" applyFill="1" applyBorder="1" applyAlignment="1" applyProtection="1">
      <alignment horizontal="center" vertical="center" wrapText="1"/>
      <protection hidden="1"/>
    </xf>
    <xf numFmtId="195" fontId="3" fillId="0" borderId="0" xfId="48" applyNumberFormat="1" applyFont="1" applyFill="1" applyBorder="1" applyAlignment="1" applyProtection="1">
      <alignment horizontal="center" vertical="center"/>
      <protection hidden="1"/>
    </xf>
    <xf numFmtId="0" fontId="5" fillId="26" borderId="104" xfId="0" applyFont="1" applyFill="1" applyBorder="1" applyAlignment="1" applyProtection="1">
      <alignment horizontal="center" vertical="center"/>
      <protection hidden="1"/>
    </xf>
    <xf numFmtId="0" fontId="3" fillId="25" borderId="232" xfId="0" applyFont="1" applyFill="1" applyBorder="1" applyAlignment="1" applyProtection="1">
      <alignment horizontal="center" vertical="center" wrapText="1"/>
      <protection hidden="1"/>
    </xf>
    <xf numFmtId="0" fontId="3" fillId="25" borderId="13" xfId="0" applyFont="1" applyFill="1" applyBorder="1" applyAlignment="1" applyProtection="1">
      <alignment horizontal="center" vertical="center" wrapText="1"/>
      <protection hidden="1"/>
    </xf>
    <xf numFmtId="0" fontId="10" fillId="24" borderId="0" xfId="0" applyFont="1" applyFill="1" applyProtection="1">
      <alignment vertical="center"/>
      <protection hidden="1"/>
    </xf>
    <xf numFmtId="38" fontId="0" fillId="0" borderId="10" xfId="0" applyNumberFormat="1" applyFont="1" applyFill="1" applyBorder="1" applyAlignment="1" applyProtection="1">
      <alignment horizontal="center" vertical="center"/>
      <protection hidden="1"/>
    </xf>
    <xf numFmtId="201" fontId="5" fillId="26" borderId="103" xfId="0" applyNumberFormat="1" applyFont="1" applyFill="1" applyBorder="1" applyAlignment="1" applyProtection="1">
      <alignment horizontal="center" vertical="center"/>
      <protection locked="0"/>
    </xf>
    <xf numFmtId="0" fontId="5" fillId="26" borderId="117" xfId="0" applyFont="1" applyFill="1" applyBorder="1" applyAlignment="1" applyProtection="1">
      <alignment horizontal="center" vertical="center"/>
      <protection locked="0"/>
    </xf>
    <xf numFmtId="0" fontId="5" fillId="26" borderId="104" xfId="0" applyFont="1" applyFill="1" applyBorder="1" applyAlignment="1" applyProtection="1">
      <alignment horizontal="center" vertical="center"/>
      <protection locked="0"/>
    </xf>
    <xf numFmtId="179" fontId="3" fillId="25" borderId="51" xfId="0" applyNumberFormat="1" applyFont="1" applyFill="1" applyBorder="1" applyAlignment="1" applyProtection="1">
      <alignment horizontal="center" vertical="center" wrapText="1"/>
      <protection hidden="1"/>
    </xf>
    <xf numFmtId="201" fontId="3" fillId="26" borderId="103" xfId="0" applyNumberFormat="1" applyFont="1" applyFill="1" applyBorder="1" applyAlignment="1" applyProtection="1">
      <alignment horizontal="center" vertical="center"/>
      <protection locked="0"/>
    </xf>
    <xf numFmtId="0" fontId="3" fillId="25" borderId="115" xfId="0" applyFont="1" applyFill="1" applyBorder="1" applyAlignment="1" applyProtection="1">
      <alignment horizontal="center" vertical="center"/>
      <protection hidden="1"/>
    </xf>
    <xf numFmtId="0" fontId="0" fillId="25" borderId="115" xfId="0" applyFont="1" applyFill="1" applyBorder="1" applyAlignment="1" applyProtection="1">
      <alignment vertical="center"/>
      <protection hidden="1"/>
    </xf>
    <xf numFmtId="0" fontId="13" fillId="26" borderId="104" xfId="0" applyFont="1" applyFill="1" applyBorder="1" applyAlignment="1" applyProtection="1">
      <alignment horizontal="center" vertical="center"/>
      <protection locked="0"/>
    </xf>
    <xf numFmtId="0" fontId="3" fillId="25" borderId="50" xfId="0" applyFont="1" applyFill="1" applyBorder="1" applyAlignment="1" applyProtection="1">
      <alignment horizontal="center" vertical="center"/>
      <protection hidden="1"/>
    </xf>
    <xf numFmtId="0" fontId="0" fillId="25" borderId="114" xfId="0" applyFont="1" applyFill="1" applyBorder="1" applyAlignment="1" applyProtection="1">
      <alignment vertical="center"/>
      <protection hidden="1"/>
    </xf>
    <xf numFmtId="0" fontId="3" fillId="25" borderId="72" xfId="0" applyFont="1" applyFill="1" applyBorder="1" applyAlignment="1" applyProtection="1">
      <alignment vertical="top"/>
      <protection hidden="1"/>
    </xf>
    <xf numFmtId="0" fontId="3" fillId="25" borderId="233" xfId="0" applyFont="1" applyFill="1" applyBorder="1" applyAlignment="1" applyProtection="1">
      <alignment horizontal="center" vertical="center"/>
      <protection hidden="1"/>
    </xf>
    <xf numFmtId="0" fontId="3" fillId="25" borderId="232" xfId="0" applyFont="1" applyFill="1" applyBorder="1" applyAlignment="1" applyProtection="1">
      <alignment horizontal="center" vertical="center"/>
      <protection hidden="1"/>
    </xf>
    <xf numFmtId="0" fontId="39" fillId="0" borderId="0" xfId="0" applyFont="1" applyProtection="1">
      <alignment vertical="center"/>
      <protection hidden="1"/>
    </xf>
    <xf numFmtId="0" fontId="34" fillId="0" borderId="0" xfId="0" applyFont="1" applyFill="1" applyProtection="1">
      <alignment vertical="center"/>
      <protection hidden="1"/>
    </xf>
    <xf numFmtId="0" fontId="5" fillId="26" borderId="44" xfId="0" applyFont="1" applyFill="1" applyBorder="1" applyAlignment="1" applyProtection="1">
      <alignment horizontal="center" vertical="center"/>
      <protection locked="0"/>
    </xf>
    <xf numFmtId="0" fontId="156" fillId="0" borderId="0" xfId="49">
      <alignment vertical="center"/>
    </xf>
    <xf numFmtId="0" fontId="13" fillId="0" borderId="0" xfId="0" applyFont="1" applyFill="1" applyProtection="1">
      <alignment vertical="center"/>
      <protection hidden="1"/>
    </xf>
    <xf numFmtId="0" fontId="13" fillId="0" borderId="10" xfId="0" applyFont="1" applyFill="1" applyBorder="1" applyProtection="1">
      <alignment vertical="center"/>
      <protection hidden="1"/>
    </xf>
    <xf numFmtId="180" fontId="13" fillId="0" borderId="10" xfId="0" applyNumberFormat="1" applyFont="1" applyFill="1" applyBorder="1" applyProtection="1">
      <alignment vertical="center"/>
      <protection hidden="1"/>
    </xf>
    <xf numFmtId="180" fontId="13" fillId="0" borderId="0" xfId="0" applyNumberFormat="1" applyFont="1" applyFill="1" applyProtection="1">
      <alignment vertical="center"/>
      <protection hidden="1"/>
    </xf>
    <xf numFmtId="0" fontId="13" fillId="24" borderId="10" xfId="0" applyFont="1" applyFill="1" applyBorder="1" applyAlignment="1" applyProtection="1">
      <alignment horizontal="right" vertical="center" shrinkToFit="1"/>
      <protection locked="0"/>
    </xf>
    <xf numFmtId="0" fontId="13" fillId="25" borderId="10" xfId="0" applyFont="1" applyFill="1" applyBorder="1" applyAlignment="1" applyProtection="1">
      <alignment vertical="center" shrinkToFit="1"/>
    </xf>
    <xf numFmtId="55" fontId="13" fillId="24" borderId="43" xfId="0" applyNumberFormat="1" applyFont="1" applyFill="1" applyBorder="1" applyAlignment="1" applyProtection="1">
      <alignment horizontal="right" vertical="center" shrinkToFit="1"/>
      <protection locked="0"/>
    </xf>
    <xf numFmtId="178" fontId="13" fillId="24" borderId="10" xfId="35" applyNumberFormat="1" applyFont="1" applyFill="1" applyBorder="1" applyAlignment="1" applyProtection="1">
      <alignment horizontal="right" vertical="center" shrinkToFit="1"/>
      <protection locked="0"/>
    </xf>
    <xf numFmtId="181" fontId="13" fillId="24" borderId="10" xfId="0" applyNumberFormat="1" applyFont="1" applyFill="1" applyBorder="1" applyAlignment="1" applyProtection="1">
      <alignment horizontal="right" vertical="center" shrinkToFit="1"/>
      <protection locked="0"/>
    </xf>
    <xf numFmtId="31" fontId="13" fillId="24" borderId="10" xfId="0" applyNumberFormat="1" applyFont="1" applyFill="1" applyBorder="1" applyAlignment="1" applyProtection="1">
      <alignment horizontal="right" vertical="center" shrinkToFit="1"/>
      <protection locked="0"/>
    </xf>
    <xf numFmtId="0" fontId="18" fillId="0" borderId="144" xfId="0" applyFont="1" applyFill="1" applyBorder="1" applyAlignment="1" applyProtection="1">
      <alignment horizontal="center" vertical="center" shrinkToFit="1"/>
      <protection hidden="1"/>
    </xf>
    <xf numFmtId="182" fontId="13" fillId="0" borderId="151" xfId="0" applyNumberFormat="1" applyFont="1" applyFill="1" applyBorder="1" applyAlignment="1" applyProtection="1">
      <alignment horizontal="center" vertical="center" shrinkToFit="1"/>
      <protection hidden="1"/>
    </xf>
    <xf numFmtId="0" fontId="18" fillId="0" borderId="148" xfId="0" applyFont="1" applyFill="1" applyBorder="1" applyAlignment="1" applyProtection="1">
      <alignment horizontal="center" vertical="center" shrinkToFit="1"/>
      <protection hidden="1"/>
    </xf>
    <xf numFmtId="0" fontId="18" fillId="0" borderId="145" xfId="0" applyFont="1" applyFill="1" applyBorder="1" applyAlignment="1" applyProtection="1">
      <alignment horizontal="center" vertical="center" shrinkToFit="1"/>
      <protection hidden="1"/>
    </xf>
    <xf numFmtId="0" fontId="18" fillId="0" borderId="146" xfId="0" applyFont="1" applyFill="1" applyBorder="1" applyAlignment="1" applyProtection="1">
      <alignment horizontal="center" vertical="center" shrinkToFit="1"/>
      <protection hidden="1"/>
    </xf>
    <xf numFmtId="0" fontId="18" fillId="0" borderId="149" xfId="0" applyFont="1" applyFill="1" applyBorder="1" applyAlignment="1" applyProtection="1">
      <alignment horizontal="center" vertical="center" shrinkToFit="1"/>
      <protection hidden="1"/>
    </xf>
    <xf numFmtId="0" fontId="13" fillId="0" borderId="150" xfId="0" applyFont="1" applyFill="1" applyBorder="1" applyAlignment="1" applyProtection="1">
      <alignment horizontal="center" vertical="center" shrinkToFit="1"/>
      <protection hidden="1"/>
    </xf>
    <xf numFmtId="2" fontId="18" fillId="0" borderId="144" xfId="0" applyNumberFormat="1" applyFont="1" applyFill="1" applyBorder="1" applyAlignment="1" applyProtection="1">
      <alignment horizontal="center" vertical="center" shrinkToFit="1"/>
      <protection hidden="1"/>
    </xf>
    <xf numFmtId="3" fontId="18" fillId="0" borderId="145" xfId="0" applyNumberFormat="1"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shrinkToFit="1"/>
    </xf>
    <xf numFmtId="0" fontId="158" fillId="0" borderId="0" xfId="0" applyFont="1" applyProtection="1">
      <alignment vertical="center"/>
      <protection hidden="1"/>
    </xf>
    <xf numFmtId="0" fontId="158" fillId="0" borderId="0" xfId="0" applyFont="1" applyProtection="1">
      <alignment vertical="center"/>
    </xf>
    <xf numFmtId="0" fontId="158" fillId="0" borderId="0" xfId="0" applyFont="1">
      <alignment vertical="center"/>
    </xf>
    <xf numFmtId="0" fontId="13" fillId="0" borderId="0" xfId="50" applyFont="1" applyProtection="1">
      <alignment vertical="center"/>
      <protection hidden="1"/>
    </xf>
    <xf numFmtId="0" fontId="13" fillId="0" borderId="238" xfId="50" applyFont="1" applyBorder="1" applyProtection="1">
      <alignment vertical="center"/>
      <protection hidden="1"/>
    </xf>
    <xf numFmtId="0" fontId="13" fillId="0" borderId="238" xfId="50" applyFont="1" applyBorder="1" applyAlignment="1" applyProtection="1">
      <alignment vertical="center"/>
      <protection hidden="1"/>
    </xf>
    <xf numFmtId="0" fontId="13" fillId="0" borderId="238" xfId="50" applyFont="1" applyBorder="1" applyAlignment="1" applyProtection="1">
      <alignment horizontal="center" vertical="center"/>
      <protection hidden="1"/>
    </xf>
    <xf numFmtId="0" fontId="13" fillId="0" borderId="0" xfId="50" applyFont="1" applyFill="1" applyAlignment="1" applyProtection="1">
      <alignment horizontal="center" vertical="center"/>
      <protection hidden="1"/>
    </xf>
    <xf numFmtId="0" fontId="13" fillId="0" borderId="0" xfId="50" applyFont="1" applyFill="1" applyAlignment="1" applyProtection="1">
      <alignment horizontal="center" vertical="center"/>
    </xf>
    <xf numFmtId="0" fontId="13" fillId="0" borderId="0" xfId="50" applyFont="1" applyFill="1" applyBorder="1" applyProtection="1">
      <alignment vertical="center"/>
      <protection hidden="1"/>
    </xf>
    <xf numFmtId="0" fontId="13" fillId="24" borderId="238" xfId="50" applyFont="1" applyFill="1" applyBorder="1" applyProtection="1">
      <alignment vertical="center"/>
      <protection hidden="1"/>
    </xf>
    <xf numFmtId="0" fontId="159" fillId="24" borderId="238" xfId="0" applyFont="1" applyFill="1" applyBorder="1" applyAlignment="1" applyProtection="1">
      <alignment vertical="center"/>
      <protection hidden="1"/>
    </xf>
    <xf numFmtId="0" fontId="160" fillId="24" borderId="238" xfId="0" applyFont="1" applyFill="1" applyBorder="1" applyAlignment="1" applyProtection="1">
      <alignment vertical="center"/>
      <protection hidden="1"/>
    </xf>
    <xf numFmtId="0" fontId="13" fillId="24" borderId="238" xfId="50" applyFont="1" applyFill="1" applyBorder="1" applyAlignment="1" applyProtection="1">
      <alignment vertical="center"/>
      <protection hidden="1"/>
    </xf>
    <xf numFmtId="0" fontId="13" fillId="24" borderId="238" xfId="50" applyFont="1" applyFill="1" applyBorder="1" applyAlignment="1" applyProtection="1">
      <alignment horizontal="center" vertical="center"/>
      <protection hidden="1"/>
    </xf>
    <xf numFmtId="0" fontId="3" fillId="24" borderId="238" xfId="0" applyFont="1" applyFill="1" applyBorder="1" applyAlignment="1" applyProtection="1">
      <alignment horizontal="right" vertical="center"/>
      <protection hidden="1"/>
    </xf>
    <xf numFmtId="0" fontId="10" fillId="24" borderId="238" xfId="0" applyFont="1" applyFill="1" applyBorder="1" applyAlignment="1" applyProtection="1">
      <alignment horizontal="left" vertical="center"/>
      <protection hidden="1"/>
    </xf>
    <xf numFmtId="0" fontId="5" fillId="24" borderId="239" xfId="0" applyFont="1" applyFill="1" applyBorder="1" applyAlignment="1" applyProtection="1">
      <alignment horizontal="center" shrinkToFit="1"/>
      <protection hidden="1"/>
    </xf>
    <xf numFmtId="0" fontId="10" fillId="24" borderId="238" xfId="0" applyFont="1" applyFill="1" applyBorder="1" applyAlignment="1" applyProtection="1">
      <alignment horizontal="left" vertical="top"/>
      <protection hidden="1"/>
    </xf>
    <xf numFmtId="0" fontId="27" fillId="24" borderId="238" xfId="50" applyFont="1" applyFill="1" applyBorder="1" applyAlignment="1" applyProtection="1">
      <alignment horizontal="right" vertical="center"/>
      <protection hidden="1"/>
    </xf>
    <xf numFmtId="0" fontId="13" fillId="24" borderId="243" xfId="50" applyFont="1" applyFill="1" applyBorder="1" applyProtection="1">
      <alignment vertical="center"/>
      <protection hidden="1"/>
    </xf>
    <xf numFmtId="0" fontId="3" fillId="24" borderId="243" xfId="0" applyFont="1" applyFill="1" applyBorder="1" applyAlignment="1" applyProtection="1">
      <alignment horizontal="right"/>
      <protection hidden="1"/>
    </xf>
    <xf numFmtId="0" fontId="158" fillId="0" borderId="243" xfId="0" applyFont="1" applyBorder="1" applyProtection="1">
      <alignment vertical="center"/>
      <protection hidden="1"/>
    </xf>
    <xf numFmtId="0" fontId="3" fillId="24" borderId="243" xfId="0" applyFont="1" applyFill="1" applyBorder="1" applyAlignment="1" applyProtection="1">
      <alignment horizontal="right" vertical="center"/>
      <protection hidden="1"/>
    </xf>
    <xf numFmtId="0" fontId="10" fillId="24" borderId="243" xfId="0" applyFont="1" applyFill="1" applyBorder="1" applyAlignment="1" applyProtection="1">
      <alignment vertical="top" shrinkToFit="1"/>
      <protection hidden="1"/>
    </xf>
    <xf numFmtId="0" fontId="30" fillId="31" borderId="26" xfId="0" applyFont="1" applyFill="1" applyBorder="1" applyAlignment="1" applyProtection="1">
      <alignment horizontal="left" vertical="center"/>
      <protection hidden="1"/>
    </xf>
    <xf numFmtId="0" fontId="30" fillId="31" borderId="53" xfId="0" applyFont="1" applyFill="1" applyBorder="1" applyAlignment="1" applyProtection="1">
      <alignment horizontal="left" vertical="center"/>
      <protection hidden="1"/>
    </xf>
    <xf numFmtId="0" fontId="3" fillId="0" borderId="10"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13" fillId="0" borderId="23" xfId="50" applyFont="1" applyBorder="1" applyProtection="1">
      <alignment vertical="center"/>
      <protection hidden="1"/>
    </xf>
    <xf numFmtId="0" fontId="13" fillId="0" borderId="0" xfId="50" applyFont="1" applyBorder="1" applyProtection="1">
      <alignment vertical="center"/>
      <protection hidden="1"/>
    </xf>
    <xf numFmtId="0" fontId="5" fillId="0" borderId="0" xfId="50" applyFont="1" applyFill="1" applyBorder="1" applyAlignment="1" applyProtection="1">
      <alignment vertical="center"/>
      <protection hidden="1"/>
    </xf>
    <xf numFmtId="0" fontId="3" fillId="0" borderId="51" xfId="0" applyFont="1" applyBorder="1" applyProtection="1">
      <alignment vertical="center"/>
      <protection hidden="1"/>
    </xf>
    <xf numFmtId="0" fontId="13" fillId="0" borderId="20" xfId="50" applyFont="1" applyBorder="1" applyProtection="1">
      <alignment vertical="center"/>
      <protection hidden="1"/>
    </xf>
    <xf numFmtId="0" fontId="34" fillId="0" borderId="24" xfId="0" applyFont="1" applyFill="1" applyBorder="1" applyAlignment="1" applyProtection="1">
      <alignment vertical="center"/>
      <protection hidden="1"/>
    </xf>
    <xf numFmtId="0" fontId="3" fillId="0" borderId="19" xfId="0" applyFont="1" applyFill="1" applyBorder="1" applyAlignment="1" applyProtection="1">
      <alignment horizontal="left" vertical="center"/>
      <protection hidden="1"/>
    </xf>
    <xf numFmtId="0" fontId="10" fillId="0" borderId="19" xfId="0" applyFont="1" applyFill="1" applyBorder="1" applyAlignment="1" applyProtection="1">
      <alignment vertical="center"/>
      <protection hidden="1"/>
    </xf>
    <xf numFmtId="0" fontId="3" fillId="0" borderId="19" xfId="0" applyFont="1" applyFill="1" applyBorder="1" applyAlignment="1" applyProtection="1">
      <alignment horizontal="right" vertical="center"/>
      <protection hidden="1"/>
    </xf>
    <xf numFmtId="0" fontId="13" fillId="0" borderId="0" xfId="50" applyFont="1" applyProtection="1">
      <alignment vertical="center"/>
    </xf>
    <xf numFmtId="0" fontId="13" fillId="0" borderId="0" xfId="50" applyFont="1" applyAlignment="1" applyProtection="1">
      <alignment vertical="center"/>
    </xf>
    <xf numFmtId="0" fontId="13" fillId="0" borderId="0" xfId="50" applyFont="1" applyAlignment="1" applyProtection="1">
      <alignment horizontal="center" vertical="center"/>
    </xf>
    <xf numFmtId="0" fontId="3" fillId="0" borderId="0" xfId="0" applyFont="1" applyBorder="1" applyProtection="1">
      <alignment vertical="center"/>
      <protection hidden="1"/>
    </xf>
    <xf numFmtId="0" fontId="30" fillId="31" borderId="78" xfId="0" applyFont="1" applyFill="1" applyBorder="1" applyAlignment="1" applyProtection="1">
      <alignment vertical="center"/>
      <protection hidden="1"/>
    </xf>
    <xf numFmtId="0" fontId="30" fillId="31" borderId="79" xfId="0" applyFont="1" applyFill="1" applyBorder="1" applyAlignment="1" applyProtection="1">
      <alignment vertical="center"/>
      <protection hidden="1"/>
    </xf>
    <xf numFmtId="0" fontId="103" fillId="31" borderId="79" xfId="0" applyFont="1" applyFill="1" applyBorder="1" applyAlignment="1" applyProtection="1">
      <alignment horizontal="right" vertical="center"/>
      <protection hidden="1"/>
    </xf>
    <xf numFmtId="0" fontId="103" fillId="31" borderId="79" xfId="0" applyFont="1" applyFill="1" applyBorder="1" applyAlignment="1" applyProtection="1">
      <alignment vertical="center"/>
      <protection hidden="1"/>
    </xf>
    <xf numFmtId="0" fontId="164" fillId="31" borderId="79" xfId="0" applyFont="1" applyFill="1" applyBorder="1" applyAlignment="1" applyProtection="1">
      <alignment vertical="center"/>
      <protection hidden="1"/>
    </xf>
    <xf numFmtId="0" fontId="164" fillId="31" borderId="210" xfId="0" applyFont="1" applyFill="1" applyBorder="1" applyAlignment="1" applyProtection="1">
      <alignment vertical="center"/>
      <protection hidden="1"/>
    </xf>
    <xf numFmtId="0" fontId="130" fillId="31" borderId="79" xfId="0" applyFont="1" applyFill="1" applyBorder="1" applyAlignment="1" applyProtection="1">
      <alignment horizontal="right" vertical="center"/>
      <protection hidden="1"/>
    </xf>
    <xf numFmtId="0" fontId="130" fillId="31" borderId="80" xfId="0" applyFont="1" applyFill="1" applyBorder="1" applyAlignment="1" applyProtection="1">
      <alignment horizontal="right" vertical="center"/>
      <protection hidden="1"/>
    </xf>
    <xf numFmtId="0" fontId="120" fillId="35" borderId="41" xfId="0" applyFont="1" applyFill="1" applyBorder="1" applyAlignment="1" applyProtection="1">
      <alignment horizontal="left" vertical="center"/>
      <protection hidden="1"/>
    </xf>
    <xf numFmtId="0" fontId="120" fillId="35" borderId="42" xfId="0" applyFont="1" applyFill="1" applyBorder="1" applyAlignment="1" applyProtection="1">
      <alignment horizontal="left" vertical="center"/>
      <protection hidden="1"/>
    </xf>
    <xf numFmtId="0" fontId="15" fillId="35" borderId="42" xfId="0" applyFont="1" applyFill="1" applyBorder="1" applyAlignment="1" applyProtection="1">
      <alignment horizontal="left" vertical="center"/>
      <protection hidden="1"/>
    </xf>
    <xf numFmtId="0" fontId="158" fillId="35" borderId="0" xfId="0" applyFont="1" applyFill="1" applyBorder="1" applyProtection="1">
      <alignment vertical="center"/>
      <protection hidden="1"/>
    </xf>
    <xf numFmtId="0" fontId="120" fillId="35" borderId="51" xfId="0" applyFont="1" applyFill="1" applyBorder="1" applyAlignment="1" applyProtection="1">
      <alignment horizontal="left" vertical="center"/>
      <protection hidden="1"/>
    </xf>
    <xf numFmtId="0" fontId="120" fillId="35" borderId="71" xfId="0" applyFont="1" applyFill="1" applyBorder="1" applyAlignment="1" applyProtection="1">
      <alignment horizontal="left" vertical="center"/>
      <protection hidden="1"/>
    </xf>
    <xf numFmtId="0" fontId="36" fillId="48" borderId="23" xfId="50" applyFont="1" applyFill="1" applyBorder="1" applyProtection="1">
      <alignment vertical="center"/>
      <protection hidden="1"/>
    </xf>
    <xf numFmtId="0" fontId="158" fillId="48" borderId="70" xfId="0" applyFont="1" applyFill="1" applyBorder="1" applyProtection="1">
      <alignment vertical="center"/>
      <protection hidden="1"/>
    </xf>
    <xf numFmtId="0" fontId="13" fillId="48" borderId="97" xfId="50" applyFont="1" applyFill="1" applyBorder="1" applyAlignment="1" applyProtection="1">
      <alignment horizontal="right" vertical="center"/>
      <protection hidden="1"/>
    </xf>
    <xf numFmtId="0" fontId="13" fillId="41" borderId="69" xfId="50" applyFont="1" applyFill="1" applyBorder="1" applyProtection="1">
      <alignment vertical="center"/>
      <protection hidden="1"/>
    </xf>
    <xf numFmtId="0" fontId="13" fillId="41" borderId="70" xfId="50" applyFont="1" applyFill="1" applyBorder="1" applyProtection="1">
      <alignment vertical="center"/>
      <protection hidden="1"/>
    </xf>
    <xf numFmtId="0" fontId="13" fillId="41" borderId="70" xfId="50" applyFont="1" applyFill="1" applyBorder="1" applyAlignment="1" applyProtection="1">
      <alignment horizontal="center" vertical="center"/>
      <protection hidden="1"/>
    </xf>
    <xf numFmtId="0" fontId="13" fillId="41" borderId="73" xfId="50" applyFont="1" applyFill="1" applyBorder="1" applyAlignment="1" applyProtection="1">
      <alignment horizontal="center" vertical="center"/>
      <protection hidden="1"/>
    </xf>
    <xf numFmtId="0" fontId="27" fillId="0" borderId="0" xfId="50" applyFont="1" applyFill="1" applyBorder="1" applyAlignment="1" applyProtection="1">
      <alignment horizontal="right" vertical="center"/>
      <protection hidden="1"/>
    </xf>
    <xf numFmtId="0" fontId="27" fillId="0" borderId="0" xfId="50" applyFont="1" applyFill="1" applyBorder="1" applyAlignment="1" applyProtection="1">
      <alignment horizontal="right" vertical="center"/>
    </xf>
    <xf numFmtId="189" fontId="3" fillId="48" borderId="44" xfId="50" applyNumberFormat="1" applyFont="1" applyFill="1" applyBorder="1" applyAlignment="1" applyProtection="1">
      <alignment horizontal="center" vertical="center"/>
      <protection hidden="1"/>
    </xf>
    <xf numFmtId="0" fontId="158" fillId="48" borderId="0" xfId="0" applyFont="1" applyFill="1" applyBorder="1" applyProtection="1">
      <alignment vertical="center"/>
      <protection hidden="1"/>
    </xf>
    <xf numFmtId="0" fontId="13" fillId="48" borderId="16" xfId="50" applyFont="1" applyFill="1" applyBorder="1" applyAlignment="1" applyProtection="1">
      <alignment horizontal="right" vertical="center"/>
      <protection hidden="1"/>
    </xf>
    <xf numFmtId="0" fontId="13" fillId="41" borderId="11" xfId="50" applyFont="1" applyFill="1" applyBorder="1" applyProtection="1">
      <alignment vertical="center"/>
      <protection hidden="1"/>
    </xf>
    <xf numFmtId="0" fontId="13" fillId="41" borderId="0" xfId="50" applyFont="1" applyFill="1" applyBorder="1" applyProtection="1">
      <alignment vertical="center"/>
      <protection hidden="1"/>
    </xf>
    <xf numFmtId="0" fontId="13" fillId="41" borderId="0" xfId="50" applyFont="1" applyFill="1" applyBorder="1" applyAlignment="1" applyProtection="1">
      <alignment horizontal="center" vertical="center"/>
      <protection hidden="1"/>
    </xf>
    <xf numFmtId="0" fontId="13" fillId="41" borderId="20" xfId="50" applyFont="1" applyFill="1" applyBorder="1" applyAlignment="1" applyProtection="1">
      <alignment horizontal="center" vertical="center"/>
      <protection hidden="1"/>
    </xf>
    <xf numFmtId="0" fontId="13" fillId="0" borderId="0" xfId="50" applyFont="1" applyFill="1" applyBorder="1" applyAlignment="1" applyProtection="1">
      <alignment vertical="center"/>
      <protection hidden="1"/>
    </xf>
    <xf numFmtId="0" fontId="13" fillId="0" borderId="0" xfId="50" applyFont="1" applyFill="1" applyBorder="1" applyAlignment="1" applyProtection="1">
      <alignment vertical="center"/>
    </xf>
    <xf numFmtId="0" fontId="10" fillId="48" borderId="44" xfId="0" applyFont="1" applyFill="1" applyBorder="1" applyAlignment="1" applyProtection="1">
      <alignment horizontal="center" vertical="center"/>
      <protection hidden="1"/>
    </xf>
    <xf numFmtId="0" fontId="62" fillId="48" borderId="122" xfId="50" applyFont="1" applyFill="1" applyBorder="1" applyProtection="1">
      <alignment vertical="center"/>
      <protection hidden="1"/>
    </xf>
    <xf numFmtId="0" fontId="5" fillId="48" borderId="21" xfId="50" applyFont="1" applyFill="1" applyBorder="1" applyAlignment="1" applyProtection="1">
      <alignment vertical="center" wrapText="1"/>
      <protection hidden="1"/>
    </xf>
    <xf numFmtId="176" fontId="5" fillId="48" borderId="21" xfId="50" applyNumberFormat="1" applyFont="1" applyFill="1" applyBorder="1" applyProtection="1">
      <alignment vertical="center"/>
      <protection hidden="1"/>
    </xf>
    <xf numFmtId="0" fontId="158" fillId="48" borderId="21" xfId="0" applyFont="1" applyFill="1" applyBorder="1" applyProtection="1">
      <alignment vertical="center"/>
      <protection hidden="1"/>
    </xf>
    <xf numFmtId="0" fontId="13" fillId="48" borderId="54" xfId="50" applyFont="1" applyFill="1" applyBorder="1" applyAlignment="1" applyProtection="1">
      <alignment horizontal="right" vertical="center"/>
      <protection hidden="1"/>
    </xf>
    <xf numFmtId="0" fontId="13" fillId="41" borderId="21" xfId="50" applyFont="1" applyFill="1" applyBorder="1" applyProtection="1">
      <alignment vertical="center"/>
      <protection hidden="1"/>
    </xf>
    <xf numFmtId="0" fontId="13" fillId="41" borderId="21" xfId="50" applyFont="1" applyFill="1" applyBorder="1" applyAlignment="1" applyProtection="1">
      <alignment horizontal="center" vertical="center"/>
      <protection hidden="1"/>
    </xf>
    <xf numFmtId="0" fontId="13" fillId="41" borderId="22" xfId="50" applyFont="1" applyFill="1" applyBorder="1" applyAlignment="1" applyProtection="1">
      <alignment horizontal="center" vertical="center"/>
      <protection hidden="1"/>
    </xf>
    <xf numFmtId="0" fontId="36" fillId="34" borderId="77" xfId="50" applyFont="1" applyFill="1" applyBorder="1" applyProtection="1">
      <alignment vertical="center"/>
      <protection hidden="1"/>
    </xf>
    <xf numFmtId="0" fontId="158" fillId="34" borderId="70" xfId="0" applyFont="1" applyFill="1" applyBorder="1" applyProtection="1">
      <alignment vertical="center"/>
      <protection hidden="1"/>
    </xf>
    <xf numFmtId="0" fontId="13" fillId="34" borderId="97" xfId="50" applyFont="1" applyFill="1" applyBorder="1" applyAlignment="1" applyProtection="1">
      <alignment horizontal="right" vertical="center"/>
      <protection hidden="1"/>
    </xf>
    <xf numFmtId="189" fontId="3" fillId="34" borderId="44" xfId="50" applyNumberFormat="1" applyFont="1" applyFill="1" applyBorder="1" applyAlignment="1" applyProtection="1">
      <alignment horizontal="center" vertical="center"/>
      <protection hidden="1"/>
    </xf>
    <xf numFmtId="0" fontId="36" fillId="34" borderId="23" xfId="50" applyFont="1" applyFill="1" applyBorder="1" applyProtection="1">
      <alignment vertical="center"/>
      <protection hidden="1"/>
    </xf>
    <xf numFmtId="0" fontId="158" fillId="34" borderId="0" xfId="0" applyFont="1" applyFill="1" applyBorder="1" applyProtection="1">
      <alignment vertical="center"/>
      <protection hidden="1"/>
    </xf>
    <xf numFmtId="0" fontId="13" fillId="34" borderId="16" xfId="50" applyFont="1" applyFill="1" applyBorder="1" applyAlignment="1" applyProtection="1">
      <alignment horizontal="right" vertical="center"/>
      <protection hidden="1"/>
    </xf>
    <xf numFmtId="0" fontId="10" fillId="34" borderId="44" xfId="0" applyFont="1" applyFill="1" applyBorder="1" applyAlignment="1" applyProtection="1">
      <alignment horizontal="center" vertical="center"/>
      <protection hidden="1"/>
    </xf>
    <xf numFmtId="0" fontId="62" fillId="34" borderId="122" xfId="50" applyFont="1" applyFill="1" applyBorder="1" applyProtection="1">
      <alignment vertical="center"/>
      <protection hidden="1"/>
    </xf>
    <xf numFmtId="0" fontId="158" fillId="34" borderId="21" xfId="0" applyFont="1" applyFill="1" applyBorder="1" applyProtection="1">
      <alignment vertical="center"/>
      <protection hidden="1"/>
    </xf>
    <xf numFmtId="0" fontId="13" fillId="34" borderId="54" xfId="50" applyFont="1" applyFill="1" applyBorder="1" applyAlignment="1" applyProtection="1">
      <alignment horizontal="right" vertical="center"/>
      <protection hidden="1"/>
    </xf>
    <xf numFmtId="0" fontId="36" fillId="51" borderId="77" xfId="50" applyFont="1" applyFill="1" applyBorder="1" applyProtection="1">
      <alignment vertical="center"/>
      <protection hidden="1"/>
    </xf>
    <xf numFmtId="0" fontId="158" fillId="51" borderId="70" xfId="0" applyFont="1" applyFill="1" applyBorder="1" applyProtection="1">
      <alignment vertical="center"/>
      <protection hidden="1"/>
    </xf>
    <xf numFmtId="0" fontId="13" fillId="51" borderId="97" xfId="50" applyFont="1" applyFill="1" applyBorder="1" applyAlignment="1" applyProtection="1">
      <alignment horizontal="right" vertical="center"/>
      <protection hidden="1"/>
    </xf>
    <xf numFmtId="189" fontId="3" fillId="51" borderId="44" xfId="50" applyNumberFormat="1" applyFont="1" applyFill="1" applyBorder="1" applyAlignment="1" applyProtection="1">
      <alignment horizontal="center" vertical="center"/>
      <protection hidden="1"/>
    </xf>
    <xf numFmtId="0" fontId="36" fillId="51" borderId="23" xfId="50" applyFont="1" applyFill="1" applyBorder="1" applyProtection="1">
      <alignment vertical="center"/>
      <protection hidden="1"/>
    </xf>
    <xf numFmtId="0" fontId="158" fillId="51" borderId="0" xfId="0" applyFont="1" applyFill="1" applyBorder="1" applyProtection="1">
      <alignment vertical="center"/>
      <protection hidden="1"/>
    </xf>
    <xf numFmtId="0" fontId="13" fillId="51" borderId="16" xfId="50" applyFont="1" applyFill="1" applyBorder="1" applyAlignment="1" applyProtection="1">
      <alignment horizontal="right" vertical="center"/>
      <protection hidden="1"/>
    </xf>
    <xf numFmtId="0" fontId="10" fillId="51" borderId="44" xfId="0" applyFont="1" applyFill="1" applyBorder="1" applyAlignment="1" applyProtection="1">
      <alignment horizontal="center" vertical="center"/>
      <protection hidden="1"/>
    </xf>
    <xf numFmtId="0" fontId="62" fillId="51" borderId="24" xfId="50" applyFont="1" applyFill="1" applyBorder="1" applyProtection="1">
      <alignment vertical="center"/>
      <protection hidden="1"/>
    </xf>
    <xf numFmtId="0" fontId="158" fillId="51" borderId="19" xfId="0" applyFont="1" applyFill="1" applyBorder="1" applyProtection="1">
      <alignment vertical="center"/>
      <protection hidden="1"/>
    </xf>
    <xf numFmtId="0" fontId="13" fillId="51" borderId="129" xfId="50" applyFont="1" applyFill="1" applyBorder="1" applyAlignment="1" applyProtection="1">
      <alignment horizontal="right" vertical="center"/>
      <protection hidden="1"/>
    </xf>
    <xf numFmtId="0" fontId="13" fillId="41" borderId="19" xfId="50" applyFont="1" applyFill="1" applyBorder="1" applyProtection="1">
      <alignment vertical="center"/>
      <protection hidden="1"/>
    </xf>
    <xf numFmtId="0" fontId="13" fillId="41" borderId="19" xfId="50" applyFont="1" applyFill="1" applyBorder="1" applyAlignment="1" applyProtection="1">
      <alignment horizontal="center" vertical="center"/>
      <protection hidden="1"/>
    </xf>
    <xf numFmtId="0" fontId="13" fillId="41" borderId="25" xfId="50" applyFont="1" applyFill="1" applyBorder="1" applyAlignment="1" applyProtection="1">
      <alignment horizontal="center" vertical="center"/>
      <protection hidden="1"/>
    </xf>
    <xf numFmtId="0" fontId="13" fillId="24" borderId="0" xfId="50" applyFont="1" applyFill="1" applyProtection="1">
      <alignment vertical="center"/>
      <protection hidden="1"/>
    </xf>
    <xf numFmtId="0" fontId="13" fillId="24" borderId="0" xfId="50" applyFont="1" applyFill="1" applyBorder="1" applyAlignment="1" applyProtection="1">
      <alignment vertical="center"/>
      <protection hidden="1"/>
    </xf>
    <xf numFmtId="0" fontId="13" fillId="24" borderId="0" xfId="50" applyFont="1" applyFill="1" applyBorder="1" applyAlignment="1" applyProtection="1">
      <alignment horizontal="center" vertical="center"/>
      <protection hidden="1"/>
    </xf>
    <xf numFmtId="0" fontId="158" fillId="0" borderId="0" xfId="0" applyFont="1" applyProtection="1">
      <alignment vertical="center"/>
      <protection locked="0" hidden="1"/>
    </xf>
    <xf numFmtId="0" fontId="30" fillId="31" borderId="216" xfId="0" applyFont="1" applyFill="1" applyBorder="1" applyAlignment="1" applyProtection="1">
      <alignment vertical="center"/>
      <protection hidden="1"/>
    </xf>
    <xf numFmtId="0" fontId="30" fillId="31" borderId="210" xfId="0" applyFont="1" applyFill="1" applyBorder="1" applyAlignment="1" applyProtection="1">
      <alignment vertical="center"/>
      <protection hidden="1"/>
    </xf>
    <xf numFmtId="0" fontId="15" fillId="31" borderId="210" xfId="0" applyFont="1" applyFill="1" applyBorder="1" applyAlignment="1" applyProtection="1">
      <alignment vertical="center"/>
      <protection hidden="1"/>
    </xf>
    <xf numFmtId="0" fontId="15" fillId="31" borderId="210" xfId="0" applyFont="1" applyFill="1" applyBorder="1" applyAlignment="1" applyProtection="1">
      <alignment horizontal="right" vertical="center"/>
      <protection hidden="1"/>
    </xf>
    <xf numFmtId="0" fontId="32" fillId="31" borderId="210" xfId="0" applyFont="1" applyFill="1" applyBorder="1" applyAlignment="1" applyProtection="1">
      <alignment horizontal="right" vertical="top"/>
      <protection hidden="1"/>
    </xf>
    <xf numFmtId="0" fontId="11" fillId="31" borderId="210" xfId="0" applyFont="1" applyFill="1" applyBorder="1" applyAlignment="1" applyProtection="1">
      <alignment horizontal="center" vertical="center"/>
      <protection hidden="1"/>
    </xf>
    <xf numFmtId="0" fontId="15" fillId="31" borderId="217" xfId="0" applyFont="1" applyFill="1" applyBorder="1" applyAlignment="1" applyProtection="1">
      <alignment vertical="center"/>
      <protection hidden="1"/>
    </xf>
    <xf numFmtId="0" fontId="34" fillId="48" borderId="77" xfId="0" applyFont="1" applyFill="1" applyBorder="1" applyAlignment="1" applyProtection="1">
      <alignment vertical="center"/>
      <protection hidden="1"/>
    </xf>
    <xf numFmtId="0" fontId="34" fillId="48" borderId="21" xfId="0" applyFont="1" applyFill="1" applyBorder="1" applyAlignment="1" applyProtection="1">
      <alignment vertical="center"/>
      <protection hidden="1"/>
    </xf>
    <xf numFmtId="0" fontId="5" fillId="48" borderId="21" xfId="0" applyFont="1" applyFill="1" applyBorder="1" applyAlignment="1" applyProtection="1">
      <alignment horizontal="center" vertical="center"/>
      <protection hidden="1"/>
    </xf>
    <xf numFmtId="0" fontId="34" fillId="48" borderId="21" xfId="0" applyFont="1" applyFill="1" applyBorder="1" applyAlignment="1" applyProtection="1">
      <alignment horizontal="right" vertical="center"/>
      <protection hidden="1"/>
    </xf>
    <xf numFmtId="38" fontId="34" fillId="48" borderId="42" xfId="48" applyNumberFormat="1" applyFont="1" applyFill="1" applyBorder="1" applyAlignment="1" applyProtection="1">
      <alignment horizontal="center" vertical="center"/>
      <protection hidden="1"/>
    </xf>
    <xf numFmtId="209" fontId="13" fillId="48" borderId="22" xfId="48" applyNumberFormat="1" applyFont="1" applyFill="1" applyBorder="1" applyAlignment="1" applyProtection="1">
      <alignment horizontal="left" vertical="center"/>
      <protection hidden="1"/>
    </xf>
    <xf numFmtId="0" fontId="5" fillId="48" borderId="121" xfId="0" applyFont="1" applyFill="1" applyBorder="1" applyAlignment="1" applyProtection="1">
      <alignment vertical="center"/>
      <protection hidden="1"/>
    </xf>
    <xf numFmtId="0" fontId="5" fillId="26" borderId="0" xfId="0" applyFont="1" applyFill="1" applyBorder="1" applyAlignment="1" applyProtection="1">
      <alignment vertical="center"/>
      <protection hidden="1"/>
    </xf>
    <xf numFmtId="0" fontId="5" fillId="26" borderId="0" xfId="0" applyFont="1" applyFill="1" applyBorder="1" applyAlignment="1" applyProtection="1">
      <alignment horizontal="center" vertical="center"/>
      <protection hidden="1"/>
    </xf>
    <xf numFmtId="0" fontId="27" fillId="26" borderId="0" xfId="0" applyFont="1" applyFill="1" applyBorder="1" applyAlignment="1" applyProtection="1">
      <alignment horizontal="right" vertical="center"/>
      <protection hidden="1"/>
    </xf>
    <xf numFmtId="38" fontId="27" fillId="26" borderId="42" xfId="48" applyNumberFormat="1" applyFont="1" applyFill="1" applyBorder="1" applyAlignment="1" applyProtection="1">
      <alignment horizontal="center" vertical="center"/>
      <protection hidden="1"/>
    </xf>
    <xf numFmtId="209" fontId="13" fillId="26" borderId="20" xfId="48" applyNumberFormat="1" applyFont="1" applyFill="1" applyBorder="1" applyAlignment="1" applyProtection="1">
      <alignment horizontal="left" vertical="center"/>
      <protection hidden="1"/>
    </xf>
    <xf numFmtId="0" fontId="3" fillId="48" borderId="121" xfId="0" applyFont="1" applyFill="1" applyBorder="1" applyAlignment="1" applyProtection="1">
      <alignment vertical="top"/>
      <protection hidden="1"/>
    </xf>
    <xf numFmtId="0" fontId="10" fillId="0" borderId="70" xfId="0" applyFont="1" applyFill="1" applyBorder="1" applyAlignment="1" applyProtection="1">
      <alignment vertical="top"/>
      <protection hidden="1"/>
    </xf>
    <xf numFmtId="0" fontId="3" fillId="0" borderId="70" xfId="0" applyFont="1" applyFill="1" applyBorder="1" applyAlignment="1" applyProtection="1">
      <alignment vertical="top"/>
      <protection hidden="1"/>
    </xf>
    <xf numFmtId="0" fontId="3" fillId="0" borderId="97" xfId="0" applyFont="1" applyFill="1" applyBorder="1" applyAlignment="1" applyProtection="1">
      <alignment vertical="top"/>
      <protection hidden="1"/>
    </xf>
    <xf numFmtId="0" fontId="10" fillId="0" borderId="69" xfId="0" applyFont="1" applyFill="1" applyBorder="1" applyAlignment="1" applyProtection="1">
      <alignment vertical="top"/>
      <protection hidden="1"/>
    </xf>
    <xf numFmtId="0" fontId="3" fillId="0" borderId="73" xfId="0" applyFont="1" applyFill="1" applyBorder="1" applyAlignment="1" applyProtection="1">
      <alignment vertical="top"/>
      <protection hidden="1"/>
    </xf>
    <xf numFmtId="0" fontId="3" fillId="0" borderId="0" xfId="0" applyFont="1" applyFill="1" applyBorder="1" applyAlignment="1" applyProtection="1">
      <alignment vertical="top"/>
      <protection hidden="1"/>
    </xf>
    <xf numFmtId="0" fontId="3" fillId="0" borderId="0" xfId="50" applyFont="1" applyFill="1" applyBorder="1" applyAlignment="1" applyProtection="1">
      <alignment vertical="center"/>
      <protection hidden="1"/>
    </xf>
    <xf numFmtId="0" fontId="3" fillId="0" borderId="0" xfId="0" applyFont="1" applyFill="1" applyBorder="1" applyAlignment="1" applyProtection="1">
      <alignment horizontal="right" vertical="top"/>
      <protection hidden="1"/>
    </xf>
    <xf numFmtId="0" fontId="3" fillId="0" borderId="10" xfId="0" applyFont="1" applyBorder="1" applyProtection="1">
      <alignment vertical="center"/>
      <protection hidden="1"/>
    </xf>
    <xf numFmtId="0" fontId="3" fillId="0" borderId="20" xfId="0" applyFont="1" applyFill="1" applyBorder="1" applyAlignment="1" applyProtection="1">
      <alignment vertical="top"/>
      <protection hidden="1"/>
    </xf>
    <xf numFmtId="0" fontId="27" fillId="0" borderId="20" xfId="0" applyFont="1" applyFill="1" applyBorder="1" applyAlignment="1" applyProtection="1">
      <alignment horizontal="center" vertical="top"/>
      <protection hidden="1"/>
    </xf>
    <xf numFmtId="0" fontId="13" fillId="48" borderId="23" xfId="0" applyFont="1" applyFill="1" applyBorder="1" applyAlignment="1" applyProtection="1">
      <alignment vertical="top" wrapText="1"/>
      <protection hidden="1"/>
    </xf>
    <xf numFmtId="0" fontId="10" fillId="0" borderId="0" xfId="0" applyFont="1" applyFill="1" applyBorder="1" applyAlignment="1" applyProtection="1">
      <alignment vertical="top"/>
      <protection hidden="1"/>
    </xf>
    <xf numFmtId="0" fontId="3" fillId="0" borderId="16" xfId="0" applyFont="1" applyFill="1" applyBorder="1" applyAlignment="1" applyProtection="1">
      <alignment vertical="top"/>
      <protection hidden="1"/>
    </xf>
    <xf numFmtId="0" fontId="10" fillId="0" borderId="11"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11" xfId="0" applyFont="1" applyFill="1" applyBorder="1" applyAlignment="1" applyProtection="1">
      <alignment vertical="top"/>
      <protection hidden="1"/>
    </xf>
    <xf numFmtId="0" fontId="3" fillId="0" borderId="0" xfId="50" applyFont="1" applyFill="1" applyBorder="1" applyAlignment="1" applyProtection="1">
      <alignment horizontal="right" vertical="center"/>
      <protection hidden="1"/>
    </xf>
    <xf numFmtId="0" fontId="5" fillId="26" borderId="72" xfId="0" applyFont="1" applyFill="1" applyBorder="1" applyAlignment="1" applyProtection="1">
      <alignment vertical="center"/>
      <protection hidden="1"/>
    </xf>
    <xf numFmtId="0" fontId="5" fillId="26" borderId="21" xfId="0" applyFont="1" applyFill="1" applyBorder="1" applyAlignment="1" applyProtection="1">
      <alignment horizontal="center" vertical="center"/>
      <protection hidden="1"/>
    </xf>
    <xf numFmtId="0" fontId="27" fillId="26" borderId="21" xfId="0" applyFont="1" applyFill="1" applyBorder="1" applyAlignment="1" applyProtection="1">
      <alignment horizontal="right" vertical="center"/>
      <protection hidden="1"/>
    </xf>
    <xf numFmtId="38" fontId="27" fillId="26" borderId="21" xfId="48" applyNumberFormat="1" applyFont="1" applyFill="1" applyBorder="1" applyAlignment="1" applyProtection="1">
      <alignment horizontal="center" vertical="center"/>
      <protection hidden="1"/>
    </xf>
    <xf numFmtId="0" fontId="13" fillId="48" borderId="121" xfId="0" applyFont="1" applyFill="1" applyBorder="1" applyAlignment="1" applyProtection="1">
      <alignment vertical="top" wrapText="1"/>
      <protection hidden="1"/>
    </xf>
    <xf numFmtId="0" fontId="5" fillId="26" borderId="72" xfId="0" applyFont="1" applyFill="1" applyBorder="1" applyAlignment="1" applyProtection="1">
      <alignment horizontal="left" vertical="top" wrapText="1"/>
      <protection hidden="1"/>
    </xf>
    <xf numFmtId="0" fontId="3" fillId="26" borderId="21" xfId="0" applyFont="1" applyFill="1" applyBorder="1" applyAlignment="1" applyProtection="1">
      <alignment horizontal="left" vertical="top" wrapText="1"/>
      <protection hidden="1"/>
    </xf>
    <xf numFmtId="0" fontId="27" fillId="26" borderId="21" xfId="0" applyFont="1" applyFill="1" applyBorder="1" applyAlignment="1" applyProtection="1">
      <alignment horizontal="center" vertical="top" wrapText="1"/>
      <protection hidden="1"/>
    </xf>
    <xf numFmtId="0" fontId="13" fillId="48" borderId="101" xfId="0" applyFont="1" applyFill="1" applyBorder="1" applyAlignment="1" applyProtection="1">
      <alignment vertical="top" wrapText="1"/>
      <protection hidden="1"/>
    </xf>
    <xf numFmtId="0" fontId="34" fillId="34" borderId="23" xfId="0" applyFont="1" applyFill="1" applyBorder="1" applyAlignment="1" applyProtection="1">
      <alignment vertical="center"/>
      <protection hidden="1"/>
    </xf>
    <xf numFmtId="0" fontId="34" fillId="34" borderId="42" xfId="0" applyFont="1" applyFill="1" applyBorder="1" applyAlignment="1" applyProtection="1">
      <alignment vertical="center"/>
      <protection hidden="1"/>
    </xf>
    <xf numFmtId="0" fontId="5" fillId="34" borderId="42" xfId="0" applyFont="1" applyFill="1" applyBorder="1" applyAlignment="1" applyProtection="1">
      <alignment horizontal="center" vertical="center"/>
      <protection hidden="1"/>
    </xf>
    <xf numFmtId="0" fontId="5" fillId="34" borderId="21" xfId="0" applyFont="1" applyFill="1" applyBorder="1" applyAlignment="1" applyProtection="1">
      <alignment horizontal="center" vertical="center"/>
      <protection hidden="1"/>
    </xf>
    <xf numFmtId="0" fontId="34" fillId="34" borderId="21" xfId="0" applyFont="1" applyFill="1" applyBorder="1" applyAlignment="1" applyProtection="1">
      <alignment horizontal="right" vertical="center"/>
      <protection hidden="1"/>
    </xf>
    <xf numFmtId="0" fontId="34" fillId="34" borderId="21" xfId="0" applyFont="1" applyFill="1" applyBorder="1" applyAlignment="1" applyProtection="1">
      <alignment horizontal="center" vertical="center"/>
      <protection hidden="1"/>
    </xf>
    <xf numFmtId="209" fontId="0" fillId="34" borderId="22" xfId="0" applyNumberFormat="1" applyFont="1" applyFill="1" applyBorder="1" applyAlignment="1" applyProtection="1">
      <alignment horizontal="left" vertical="center"/>
      <protection hidden="1"/>
    </xf>
    <xf numFmtId="0" fontId="3" fillId="0" borderId="0" xfId="0" applyFont="1" applyFill="1" applyBorder="1" applyProtection="1">
      <alignment vertical="center"/>
      <protection hidden="1"/>
    </xf>
    <xf numFmtId="0" fontId="5" fillId="34" borderId="121" xfId="0" applyFont="1" applyFill="1" applyBorder="1" applyAlignment="1" applyProtection="1">
      <alignment vertical="center"/>
      <protection hidden="1"/>
    </xf>
    <xf numFmtId="0" fontId="27" fillId="26" borderId="0" xfId="0" applyFont="1" applyFill="1" applyBorder="1" applyAlignment="1" applyProtection="1">
      <alignment horizontal="center" vertical="center"/>
      <protection hidden="1"/>
    </xf>
    <xf numFmtId="209" fontId="13" fillId="26" borderId="17" xfId="0" applyNumberFormat="1" applyFont="1" applyFill="1" applyBorder="1" applyAlignment="1" applyProtection="1">
      <alignment horizontal="left" vertical="center"/>
      <protection hidden="1"/>
    </xf>
    <xf numFmtId="209" fontId="13" fillId="26" borderId="20" xfId="0" applyNumberFormat="1" applyFont="1" applyFill="1" applyBorder="1" applyAlignment="1" applyProtection="1">
      <alignment horizontal="left" vertical="center"/>
      <protection hidden="1"/>
    </xf>
    <xf numFmtId="0" fontId="3" fillId="34" borderId="121" xfId="0" applyFont="1" applyFill="1" applyBorder="1" applyAlignment="1" applyProtection="1">
      <alignment vertical="top"/>
      <protection hidden="1"/>
    </xf>
    <xf numFmtId="0" fontId="27" fillId="0" borderId="16" xfId="0" applyFont="1" applyFill="1" applyBorder="1" applyAlignment="1" applyProtection="1">
      <alignment horizontal="center" vertical="top"/>
      <protection hidden="1"/>
    </xf>
    <xf numFmtId="0" fontId="13" fillId="34" borderId="23" xfId="0" applyFont="1" applyFill="1" applyBorder="1" applyAlignment="1" applyProtection="1">
      <alignment vertical="top" wrapText="1"/>
      <protection hidden="1"/>
    </xf>
    <xf numFmtId="0" fontId="13" fillId="34" borderId="122" xfId="0" applyFont="1" applyFill="1" applyBorder="1" applyAlignment="1" applyProtection="1">
      <alignment vertical="top" wrapText="1"/>
      <protection hidden="1"/>
    </xf>
    <xf numFmtId="0" fontId="34" fillId="51" borderId="77" xfId="0" applyFont="1" applyFill="1" applyBorder="1" applyAlignment="1" applyProtection="1">
      <alignment vertical="center"/>
      <protection hidden="1"/>
    </xf>
    <xf numFmtId="0" fontId="34" fillId="51" borderId="21" xfId="0" applyFont="1" applyFill="1" applyBorder="1" applyAlignment="1" applyProtection="1">
      <alignment vertical="center"/>
      <protection hidden="1"/>
    </xf>
    <xf numFmtId="0" fontId="5" fillId="51" borderId="21" xfId="0" applyFont="1" applyFill="1" applyBorder="1" applyAlignment="1" applyProtection="1">
      <alignment horizontal="center" vertical="center"/>
      <protection hidden="1"/>
    </xf>
    <xf numFmtId="0" fontId="34" fillId="51" borderId="21" xfId="0" applyFont="1" applyFill="1" applyBorder="1" applyAlignment="1" applyProtection="1">
      <alignment horizontal="right" vertical="center"/>
      <protection hidden="1"/>
    </xf>
    <xf numFmtId="0" fontId="34" fillId="51" borderId="21" xfId="0" applyFont="1" applyFill="1" applyBorder="1" applyAlignment="1" applyProtection="1">
      <alignment horizontal="center" vertical="center"/>
      <protection hidden="1"/>
    </xf>
    <xf numFmtId="209" fontId="0" fillId="51" borderId="22" xfId="0" applyNumberFormat="1" applyFont="1" applyFill="1" applyBorder="1" applyAlignment="1" applyProtection="1">
      <alignment horizontal="left" vertical="center"/>
      <protection hidden="1"/>
    </xf>
    <xf numFmtId="0" fontId="5" fillId="51" borderId="121" xfId="0" applyFont="1" applyFill="1" applyBorder="1" applyAlignment="1" applyProtection="1">
      <alignment vertical="center"/>
      <protection hidden="1"/>
    </xf>
    <xf numFmtId="0" fontId="5" fillId="26" borderId="51" xfId="0" applyFont="1" applyFill="1" applyBorder="1" applyAlignment="1" applyProtection="1">
      <alignment vertical="center"/>
      <protection hidden="1"/>
    </xf>
    <xf numFmtId="0" fontId="5" fillId="26" borderId="42" xfId="0" applyFont="1" applyFill="1" applyBorder="1" applyAlignment="1" applyProtection="1">
      <alignment horizontal="center" vertical="center"/>
      <protection hidden="1"/>
    </xf>
    <xf numFmtId="0" fontId="27" fillId="26" borderId="42" xfId="0" applyFont="1" applyFill="1" applyBorder="1" applyAlignment="1" applyProtection="1">
      <alignment horizontal="right" vertical="center"/>
      <protection hidden="1"/>
    </xf>
    <xf numFmtId="0" fontId="27" fillId="26" borderId="42" xfId="0" applyFont="1" applyFill="1" applyBorder="1" applyAlignment="1" applyProtection="1">
      <alignment horizontal="center" vertical="center"/>
      <protection hidden="1"/>
    </xf>
    <xf numFmtId="209" fontId="13" fillId="26" borderId="16" xfId="0" applyNumberFormat="1" applyFont="1" applyFill="1" applyBorder="1" applyAlignment="1" applyProtection="1">
      <alignment horizontal="left" vertical="center"/>
      <protection hidden="1"/>
    </xf>
    <xf numFmtId="0" fontId="5" fillId="26" borderId="51" xfId="0" applyFont="1" applyFill="1" applyBorder="1" applyAlignment="1" applyProtection="1">
      <alignment horizontal="left" vertical="center"/>
      <protection hidden="1"/>
    </xf>
    <xf numFmtId="0" fontId="3" fillId="51" borderId="121" xfId="0" applyFont="1" applyFill="1" applyBorder="1" applyAlignment="1" applyProtection="1">
      <alignment vertical="top"/>
      <protection hidden="1"/>
    </xf>
    <xf numFmtId="0" fontId="10" fillId="0" borderId="0" xfId="0" applyFont="1" applyFill="1" applyBorder="1" applyAlignment="1" applyProtection="1">
      <alignment horizontal="left" vertical="top"/>
      <protection hidden="1"/>
    </xf>
    <xf numFmtId="0" fontId="13" fillId="0" borderId="20" xfId="50" applyFont="1" applyFill="1" applyBorder="1" applyProtection="1">
      <alignment vertical="center"/>
      <protection hidden="1"/>
    </xf>
    <xf numFmtId="0" fontId="158" fillId="0" borderId="0" xfId="0" applyFont="1" applyFill="1" applyProtection="1">
      <alignment vertical="center"/>
      <protection hidden="1"/>
    </xf>
    <xf numFmtId="0" fontId="158" fillId="0" borderId="0" xfId="0" applyFont="1" applyFill="1" applyProtection="1">
      <alignment vertical="center"/>
      <protection locked="0" hidden="1"/>
    </xf>
    <xf numFmtId="0" fontId="158" fillId="0" borderId="0" xfId="0" applyFont="1" applyFill="1">
      <alignment vertical="center"/>
    </xf>
    <xf numFmtId="0" fontId="27" fillId="0" borderId="0" xfId="0" applyFont="1" applyFill="1" applyBorder="1" applyAlignment="1" applyProtection="1">
      <alignment horizontal="center" vertical="top"/>
      <protection hidden="1"/>
    </xf>
    <xf numFmtId="0" fontId="13" fillId="51" borderId="23" xfId="0" applyFont="1" applyFill="1" applyBorder="1" applyAlignment="1" applyProtection="1">
      <alignment vertical="top" wrapText="1"/>
      <protection hidden="1"/>
    </xf>
    <xf numFmtId="0" fontId="13" fillId="51" borderId="121" xfId="0" applyFont="1" applyFill="1" applyBorder="1" applyAlignment="1" applyProtection="1">
      <alignment vertical="top" wrapText="1"/>
      <protection hidden="1"/>
    </xf>
    <xf numFmtId="0" fontId="27" fillId="26" borderId="21" xfId="0" applyFont="1" applyFill="1" applyBorder="1" applyAlignment="1" applyProtection="1">
      <alignment horizontal="right" vertical="top" wrapText="1"/>
      <protection hidden="1"/>
    </xf>
    <xf numFmtId="0" fontId="13" fillId="51" borderId="102" xfId="0" applyFont="1" applyFill="1" applyBorder="1" applyAlignment="1" applyProtection="1">
      <alignment vertical="top" wrapText="1"/>
      <protection hidden="1"/>
    </xf>
    <xf numFmtId="0" fontId="13" fillId="0" borderId="0" xfId="0" applyFont="1" applyFill="1" applyBorder="1" applyAlignment="1" applyProtection="1">
      <alignment vertical="top" wrapText="1"/>
      <protection hidden="1"/>
    </xf>
    <xf numFmtId="0" fontId="3" fillId="0" borderId="0" xfId="0" applyFont="1" applyFill="1" applyBorder="1" applyAlignment="1" applyProtection="1">
      <alignment horizontal="left" vertical="top" wrapText="1"/>
      <protection hidden="1"/>
    </xf>
    <xf numFmtId="0" fontId="30" fillId="31" borderId="26" xfId="0" applyFont="1" applyFill="1" applyBorder="1" applyAlignment="1" applyProtection="1">
      <alignment vertical="center"/>
      <protection hidden="1"/>
    </xf>
    <xf numFmtId="0" fontId="30" fillId="31" borderId="52" xfId="0" applyFont="1" applyFill="1" applyBorder="1" applyAlignment="1" applyProtection="1">
      <alignment vertical="center"/>
      <protection hidden="1"/>
    </xf>
    <xf numFmtId="0" fontId="15" fillId="31" borderId="52" xfId="0" applyFont="1" applyFill="1" applyBorder="1" applyAlignment="1" applyProtection="1">
      <alignment vertical="center"/>
      <protection hidden="1"/>
    </xf>
    <xf numFmtId="0" fontId="15" fillId="31" borderId="52" xfId="0" applyFont="1" applyFill="1" applyBorder="1" applyAlignment="1" applyProtection="1">
      <alignment horizontal="right" vertical="center"/>
      <protection hidden="1"/>
    </xf>
    <xf numFmtId="0" fontId="11" fillId="31" borderId="52" xfId="0" applyFont="1" applyFill="1" applyBorder="1" applyAlignment="1" applyProtection="1">
      <alignment horizontal="center" vertical="center"/>
      <protection hidden="1"/>
    </xf>
    <xf numFmtId="0" fontId="15" fillId="31" borderId="79" xfId="0" applyFont="1" applyFill="1" applyBorder="1" applyAlignment="1" applyProtection="1">
      <alignment vertical="center"/>
      <protection hidden="1"/>
    </xf>
    <xf numFmtId="0" fontId="15" fillId="31" borderId="53" xfId="0" applyFont="1" applyFill="1" applyBorder="1" applyAlignment="1" applyProtection="1">
      <alignment vertical="center"/>
      <protection hidden="1"/>
    </xf>
    <xf numFmtId="0" fontId="3" fillId="0" borderId="0" xfId="0" applyFont="1" applyFill="1" applyProtection="1">
      <alignment vertical="center"/>
      <protection locked="0"/>
    </xf>
    <xf numFmtId="0" fontId="7" fillId="52" borderId="120" xfId="0" applyFont="1" applyFill="1" applyBorder="1" applyAlignment="1" applyProtection="1">
      <alignment horizontal="center" vertical="center" wrapText="1"/>
      <protection hidden="1"/>
    </xf>
    <xf numFmtId="0" fontId="3" fillId="0" borderId="0" xfId="0" applyFont="1" applyProtection="1">
      <alignment vertical="center"/>
      <protection locked="0"/>
    </xf>
    <xf numFmtId="0" fontId="13" fillId="0" borderId="0" xfId="50" applyFont="1" applyAlignment="1" applyProtection="1">
      <alignment vertical="center"/>
      <protection hidden="1"/>
    </xf>
    <xf numFmtId="0" fontId="13" fillId="0" borderId="0" xfId="50" applyFont="1" applyAlignment="1" applyProtection="1">
      <alignment horizontal="center" vertical="center"/>
      <protection hidden="1"/>
    </xf>
    <xf numFmtId="0" fontId="158" fillId="0" borderId="0" xfId="0" applyFont="1" applyAlignment="1" applyProtection="1">
      <alignment vertical="center" wrapText="1"/>
      <protection hidden="1"/>
    </xf>
    <xf numFmtId="0" fontId="13" fillId="0" borderId="23" xfId="0" applyFont="1" applyFill="1" applyBorder="1" applyAlignment="1" applyProtection="1">
      <alignment vertical="top" wrapText="1"/>
      <protection hidden="1"/>
    </xf>
    <xf numFmtId="0" fontId="3" fillId="0" borderId="0" xfId="0" applyFont="1" applyFill="1" applyBorder="1" applyAlignment="1" applyProtection="1">
      <alignment horizontal="left" vertical="top"/>
      <protection hidden="1"/>
    </xf>
    <xf numFmtId="0" fontId="158" fillId="0" borderId="0" xfId="0" applyFont="1" applyBorder="1" applyProtection="1">
      <alignment vertical="center"/>
      <protection hidden="1"/>
    </xf>
    <xf numFmtId="0" fontId="3" fillId="0" borderId="0" xfId="0" applyFont="1" applyFill="1" applyBorder="1" applyAlignment="1" applyProtection="1">
      <alignment vertical="top" wrapText="1"/>
      <protection hidden="1"/>
    </xf>
    <xf numFmtId="0" fontId="3" fillId="0" borderId="0" xfId="0" applyFont="1" applyAlignment="1" applyProtection="1">
      <alignment vertical="center"/>
      <protection locked="0"/>
    </xf>
    <xf numFmtId="0" fontId="13" fillId="0" borderId="24" xfId="0" applyFont="1" applyFill="1" applyBorder="1" applyAlignment="1" applyProtection="1">
      <alignment vertical="top" wrapText="1"/>
      <protection hidden="1"/>
    </xf>
    <xf numFmtId="0" fontId="3" fillId="0" borderId="19" xfId="0" applyFont="1" applyFill="1" applyBorder="1" applyAlignment="1" applyProtection="1">
      <alignment horizontal="left" vertical="top"/>
      <protection hidden="1"/>
    </xf>
    <xf numFmtId="0" fontId="3" fillId="0" borderId="19" xfId="0" applyFont="1" applyFill="1" applyBorder="1" applyAlignment="1" applyProtection="1">
      <alignment horizontal="left" vertical="top" wrapText="1"/>
      <protection hidden="1"/>
    </xf>
    <xf numFmtId="0" fontId="3" fillId="0" borderId="19" xfId="0" applyFont="1" applyFill="1" applyBorder="1" applyAlignment="1" applyProtection="1">
      <alignment vertical="center"/>
      <protection hidden="1"/>
    </xf>
    <xf numFmtId="0" fontId="158" fillId="0" borderId="19" xfId="0" applyFont="1" applyBorder="1" applyProtection="1">
      <alignment vertical="center"/>
      <protection hidden="1"/>
    </xf>
    <xf numFmtId="0" fontId="3" fillId="0" borderId="19" xfId="0" applyFont="1" applyFill="1" applyBorder="1" applyAlignment="1" applyProtection="1">
      <alignment vertical="top" wrapText="1"/>
      <protection hidden="1"/>
    </xf>
    <xf numFmtId="0" fontId="3" fillId="0" borderId="0"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27" fillId="30" borderId="249" xfId="0" applyFont="1" applyFill="1" applyBorder="1" applyAlignment="1" applyProtection="1">
      <alignment horizontal="center" vertical="center"/>
      <protection locked="0"/>
    </xf>
    <xf numFmtId="0" fontId="7" fillId="53" borderId="120" xfId="0" applyFont="1" applyFill="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hidden="1"/>
    </xf>
    <xf numFmtId="0" fontId="5" fillId="53" borderId="22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protection hidden="1"/>
    </xf>
    <xf numFmtId="189" fontId="62" fillId="0" borderId="0" xfId="0" applyNumberFormat="1" applyFont="1" applyFill="1" applyBorder="1" applyAlignment="1" applyProtection="1">
      <alignment horizontal="center" vertical="center" wrapText="1"/>
      <protection hidden="1"/>
    </xf>
    <xf numFmtId="189" fontId="62"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protection hidden="1"/>
    </xf>
    <xf numFmtId="0" fontId="3" fillId="0" borderId="0" xfId="50" applyFont="1" applyAlignment="1" applyProtection="1">
      <alignment horizontal="left" vertical="center" indent="3"/>
      <protection hidden="1"/>
    </xf>
    <xf numFmtId="0" fontId="13" fillId="0" borderId="0" xfId="50" applyFont="1" applyAlignment="1" applyProtection="1">
      <alignment horizontal="right" vertical="center"/>
      <protection hidden="1"/>
    </xf>
    <xf numFmtId="0" fontId="3" fillId="0" borderId="0" xfId="50" applyFont="1" applyAlignment="1" applyProtection="1">
      <alignment horizontal="left" vertical="center" indent="1"/>
      <protection hidden="1"/>
    </xf>
    <xf numFmtId="0" fontId="13" fillId="0" borderId="0" xfId="50" applyFont="1" applyAlignment="1" applyProtection="1">
      <alignment horizontal="left" vertical="center"/>
      <protection hidden="1"/>
    </xf>
    <xf numFmtId="0" fontId="3" fillId="0" borderId="0" xfId="50" applyFont="1" applyAlignment="1" applyProtection="1">
      <alignment horizontal="center" vertical="center"/>
      <protection hidden="1"/>
    </xf>
    <xf numFmtId="0" fontId="3" fillId="0" borderId="0" xfId="0" applyFont="1" applyAlignment="1" applyProtection="1">
      <alignment horizontal="left" vertical="center" indent="3"/>
      <protection hidden="1"/>
    </xf>
    <xf numFmtId="0" fontId="3" fillId="0" borderId="0" xfId="50" applyFont="1" applyProtection="1">
      <alignment vertical="center"/>
      <protection hidden="1"/>
    </xf>
    <xf numFmtId="0" fontId="13" fillId="0" borderId="0" xfId="50" applyFont="1" applyAlignment="1" applyProtection="1">
      <alignment horizontal="right" vertical="center"/>
    </xf>
    <xf numFmtId="0" fontId="3" fillId="24"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77" fontId="27" fillId="0" borderId="19" xfId="0" applyNumberFormat="1" applyFont="1" applyFill="1" applyBorder="1" applyAlignment="1" applyProtection="1">
      <alignment horizontal="center" vertical="center"/>
      <protection hidden="1"/>
    </xf>
    <xf numFmtId="0" fontId="7" fillId="0" borderId="229" xfId="0" applyFont="1" applyFill="1" applyBorder="1" applyAlignment="1" applyProtection="1">
      <alignment horizontal="center" vertical="center"/>
      <protection hidden="1"/>
    </xf>
    <xf numFmtId="0" fontId="7" fillId="0" borderId="229" xfId="0" applyFont="1" applyFill="1" applyBorder="1" applyAlignment="1" applyProtection="1">
      <alignment horizontal="left" vertical="center"/>
      <protection hidden="1"/>
    </xf>
    <xf numFmtId="0" fontId="3" fillId="0" borderId="0" xfId="0" applyFont="1" applyBorder="1" applyProtection="1">
      <alignment vertical="center"/>
    </xf>
    <xf numFmtId="201" fontId="10" fillId="44" borderId="4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0" fontId="5" fillId="34" borderId="21" xfId="50" applyFont="1" applyFill="1" applyBorder="1" applyAlignment="1" applyProtection="1">
      <alignment horizontal="left" vertical="center" wrapText="1"/>
      <protection hidden="1"/>
    </xf>
    <xf numFmtId="0" fontId="36" fillId="51" borderId="70" xfId="50" applyFont="1" applyFill="1" applyBorder="1" applyAlignment="1" applyProtection="1">
      <alignment horizontal="left" vertical="center" wrapText="1"/>
      <protection hidden="1"/>
    </xf>
    <xf numFmtId="0" fontId="5" fillId="51" borderId="19" xfId="50" applyFont="1" applyFill="1" applyBorder="1" applyAlignment="1" applyProtection="1">
      <alignment horizontal="left" vertical="center" wrapText="1"/>
      <protection hidden="1"/>
    </xf>
    <xf numFmtId="0" fontId="163" fillId="34" borderId="0" xfId="50" applyFont="1" applyFill="1" applyBorder="1" applyAlignment="1" applyProtection="1">
      <alignment horizontal="left" vertical="center" wrapText="1"/>
      <protection hidden="1"/>
    </xf>
    <xf numFmtId="0" fontId="36" fillId="48" borderId="70" xfId="50" applyFont="1" applyFill="1" applyBorder="1" applyAlignment="1" applyProtection="1">
      <alignment horizontal="left" vertical="center" wrapText="1"/>
      <protection hidden="1"/>
    </xf>
    <xf numFmtId="0" fontId="163" fillId="48" borderId="0" xfId="50" applyFont="1" applyFill="1" applyBorder="1" applyAlignment="1" applyProtection="1">
      <alignment horizontal="left" vertical="center" wrapText="1"/>
      <protection hidden="1"/>
    </xf>
    <xf numFmtId="0" fontId="36" fillId="34" borderId="70" xfId="50" applyFont="1" applyFill="1" applyBorder="1" applyAlignment="1" applyProtection="1">
      <alignment horizontal="left" vertical="center" wrapText="1"/>
      <protection hidden="1"/>
    </xf>
    <xf numFmtId="180" fontId="3" fillId="39" borderId="41" xfId="0" applyNumberFormat="1" applyFont="1" applyFill="1" applyBorder="1" applyAlignment="1" applyProtection="1">
      <alignment horizontal="left" vertical="center" shrinkToFit="1"/>
      <protection locked="0"/>
    </xf>
    <xf numFmtId="180" fontId="3" fillId="39" borderId="42" xfId="0" applyNumberFormat="1" applyFont="1" applyFill="1" applyBorder="1" applyAlignment="1" applyProtection="1">
      <alignment horizontal="left" vertical="center" shrinkToFit="1"/>
      <protection locked="0"/>
    </xf>
    <xf numFmtId="180" fontId="7" fillId="39" borderId="42" xfId="0" applyNumberFormat="1" applyFont="1" applyFill="1" applyBorder="1" applyAlignment="1" applyProtection="1">
      <alignment horizontal="left" shrinkToFit="1"/>
      <protection locked="0"/>
    </xf>
    <xf numFmtId="180" fontId="7" fillId="26" borderId="74" xfId="0" applyNumberFormat="1" applyFont="1" applyFill="1" applyBorder="1" applyAlignment="1" applyProtection="1">
      <alignment horizontal="left" vertical="center" shrinkToFit="1"/>
      <protection locked="0" hidden="1"/>
    </xf>
    <xf numFmtId="180" fontId="7" fillId="26" borderId="75" xfId="0" applyNumberFormat="1" applyFont="1" applyFill="1" applyBorder="1" applyAlignment="1" applyProtection="1">
      <alignment horizontal="left" vertical="center" shrinkToFit="1"/>
      <protection locked="0" hidden="1"/>
    </xf>
    <xf numFmtId="180" fontId="7" fillId="26" borderId="75" xfId="0" applyNumberFormat="1" applyFont="1" applyFill="1" applyBorder="1" applyAlignment="1" applyProtection="1">
      <alignment horizontal="left" shrinkToFit="1"/>
      <protection locked="0" hidden="1"/>
    </xf>
    <xf numFmtId="180" fontId="3" fillId="39" borderId="122" xfId="0" applyNumberFormat="1" applyFont="1" applyFill="1" applyBorder="1" applyAlignment="1" applyProtection="1">
      <alignment horizontal="left" vertical="center" shrinkToFit="1"/>
      <protection locked="0"/>
    </xf>
    <xf numFmtId="180" fontId="3" fillId="39" borderId="21" xfId="0" applyNumberFormat="1" applyFont="1" applyFill="1" applyBorder="1" applyAlignment="1" applyProtection="1">
      <alignment horizontal="left" vertical="center" shrinkToFit="1"/>
      <protection locked="0"/>
    </xf>
    <xf numFmtId="180" fontId="3" fillId="39" borderId="68" xfId="0" applyNumberFormat="1" applyFont="1" applyFill="1" applyBorder="1" applyAlignment="1" applyProtection="1">
      <alignment horizontal="left" vertical="center" shrinkToFit="1"/>
      <protection locked="0"/>
    </xf>
    <xf numFmtId="180" fontId="7" fillId="39" borderId="68" xfId="0" applyNumberFormat="1" applyFont="1" applyFill="1" applyBorder="1" applyAlignment="1" applyProtection="1">
      <alignment horizontal="left" shrinkToFit="1"/>
      <protection locked="0"/>
    </xf>
    <xf numFmtId="180" fontId="7" fillId="39" borderId="16" xfId="0" applyNumberFormat="1" applyFont="1" applyFill="1" applyBorder="1" applyAlignment="1" applyProtection="1">
      <alignment horizontal="left" shrinkToFit="1"/>
      <protection locked="0"/>
    </xf>
    <xf numFmtId="180" fontId="7" fillId="27" borderId="78" xfId="0" applyNumberFormat="1" applyFont="1" applyFill="1" applyBorder="1" applyAlignment="1" applyProtection="1">
      <alignment horizontal="left" vertical="center" shrinkToFit="1"/>
      <protection locked="0" hidden="1"/>
    </xf>
    <xf numFmtId="180" fontId="7" fillId="27" borderId="79" xfId="0" applyNumberFormat="1" applyFont="1" applyFill="1" applyBorder="1" applyAlignment="1" applyProtection="1">
      <alignment horizontal="left" vertical="center" shrinkToFit="1"/>
      <protection locked="0" hidden="1"/>
    </xf>
    <xf numFmtId="180" fontId="7" fillId="27" borderId="79" xfId="0" applyNumberFormat="1" applyFont="1" applyFill="1" applyBorder="1" applyAlignment="1" applyProtection="1">
      <alignment horizontal="left" shrinkToFit="1"/>
      <protection locked="0" hidden="1"/>
    </xf>
    <xf numFmtId="180" fontId="7" fillId="26" borderId="60" xfId="0" applyNumberFormat="1" applyFont="1" applyFill="1" applyBorder="1" applyAlignment="1" applyProtection="1">
      <alignment horizontal="left" vertical="center" shrinkToFit="1"/>
      <protection locked="0" hidden="1"/>
    </xf>
    <xf numFmtId="180" fontId="7" fillId="26" borderId="61" xfId="0" applyNumberFormat="1" applyFont="1" applyFill="1" applyBorder="1" applyAlignment="1" applyProtection="1">
      <alignment horizontal="left" vertical="center" shrinkToFit="1"/>
      <protection locked="0" hidden="1"/>
    </xf>
    <xf numFmtId="180" fontId="7" fillId="26" borderId="61" xfId="0" applyNumberFormat="1" applyFont="1" applyFill="1" applyBorder="1" applyAlignment="1" applyProtection="1">
      <alignment horizontal="left" shrinkToFit="1"/>
      <protection locked="0" hidden="1"/>
    </xf>
    <xf numFmtId="180" fontId="3" fillId="39" borderId="170" xfId="0" applyNumberFormat="1" applyFont="1" applyFill="1" applyBorder="1" applyAlignment="1" applyProtection="1">
      <alignment horizontal="left" vertical="center" shrinkToFit="1"/>
      <protection locked="0"/>
    </xf>
    <xf numFmtId="180" fontId="7" fillId="39" borderId="128" xfId="0" applyNumberFormat="1" applyFont="1" applyFill="1" applyBorder="1" applyAlignment="1" applyProtection="1">
      <alignment horizontal="left" shrinkToFit="1"/>
      <protection locked="0"/>
    </xf>
    <xf numFmtId="180" fontId="7" fillId="39" borderId="21" xfId="0" applyNumberFormat="1" applyFont="1" applyFill="1" applyBorder="1" applyAlignment="1" applyProtection="1">
      <alignment horizontal="left" shrinkToFit="1"/>
      <protection locked="0"/>
    </xf>
    <xf numFmtId="0" fontId="5" fillId="0" borderId="0" xfId="50" applyFont="1" applyFill="1" applyBorder="1" applyAlignment="1" applyProtection="1">
      <alignment vertical="center" shrinkToFit="1"/>
    </xf>
    <xf numFmtId="0" fontId="27" fillId="0" borderId="246" xfId="0" applyFont="1" applyFill="1" applyBorder="1" applyAlignment="1" applyProtection="1">
      <alignment horizontal="center" vertical="top"/>
    </xf>
    <xf numFmtId="0" fontId="27" fillId="0" borderId="247" xfId="0" applyFont="1" applyFill="1" applyBorder="1" applyAlignment="1" applyProtection="1">
      <alignment horizontal="center" vertical="top"/>
    </xf>
    <xf numFmtId="0" fontId="3" fillId="0" borderId="246" xfId="0" applyFont="1" applyFill="1" applyBorder="1" applyAlignment="1" applyProtection="1">
      <alignment horizontal="center" vertical="top" shrinkToFit="1"/>
    </xf>
    <xf numFmtId="0" fontId="27" fillId="0" borderId="250" xfId="0" applyFont="1" applyFill="1" applyBorder="1" applyAlignment="1" applyProtection="1">
      <alignment horizontal="center" vertical="top"/>
    </xf>
    <xf numFmtId="0" fontId="27" fillId="0" borderId="129" xfId="0" applyFont="1" applyFill="1" applyBorder="1" applyAlignment="1" applyProtection="1">
      <alignment horizontal="center" vertical="top"/>
    </xf>
    <xf numFmtId="0" fontId="13" fillId="0" borderId="23" xfId="0" applyFont="1" applyFill="1" applyBorder="1" applyAlignment="1" applyProtection="1">
      <alignment vertical="top" wrapText="1"/>
    </xf>
    <xf numFmtId="0" fontId="13" fillId="0" borderId="0" xfId="0" applyFont="1" applyFill="1" applyBorder="1" applyAlignment="1" applyProtection="1">
      <alignment horizontal="left" vertical="top"/>
    </xf>
    <xf numFmtId="0" fontId="0" fillId="0" borderId="0" xfId="0" applyFont="1" applyAlignment="1" applyProtection="1">
      <alignment vertical="center"/>
    </xf>
    <xf numFmtId="0" fontId="0" fillId="0" borderId="16" xfId="0" applyFont="1" applyBorder="1" applyAlignment="1" applyProtection="1">
      <alignment vertical="center"/>
    </xf>
    <xf numFmtId="0" fontId="13" fillId="0" borderId="24" xfId="0" applyFont="1" applyFill="1" applyBorder="1" applyAlignment="1" applyProtection="1">
      <alignment vertical="top" wrapText="1"/>
    </xf>
    <xf numFmtId="0" fontId="0" fillId="0" borderId="19" xfId="0" applyFont="1" applyBorder="1" applyAlignment="1" applyProtection="1">
      <alignment vertical="center"/>
    </xf>
    <xf numFmtId="0" fontId="0" fillId="0" borderId="129" xfId="0" applyFont="1" applyBorder="1" applyAlignment="1" applyProtection="1">
      <alignment vertical="center"/>
    </xf>
    <xf numFmtId="177" fontId="27" fillId="0" borderId="246" xfId="0" applyNumberFormat="1" applyFont="1" applyFill="1" applyBorder="1" applyAlignment="1" applyProtection="1">
      <alignment horizontal="center" vertical="top"/>
    </xf>
    <xf numFmtId="0" fontId="158" fillId="0" borderId="0" xfId="0" applyFont="1" applyAlignment="1" applyProtection="1">
      <alignment vertical="center"/>
    </xf>
    <xf numFmtId="0" fontId="156" fillId="54" borderId="10" xfId="49" applyFill="1" applyBorder="1" applyProtection="1">
      <alignment vertical="center"/>
      <protection locked="0"/>
    </xf>
    <xf numFmtId="0" fontId="156" fillId="54" borderId="168" xfId="49" applyFill="1" applyBorder="1" applyProtection="1">
      <alignment vertical="center"/>
      <protection locked="0"/>
    </xf>
    <xf numFmtId="0" fontId="156" fillId="0" borderId="0" xfId="49" applyProtection="1">
      <alignment vertical="center"/>
    </xf>
    <xf numFmtId="0" fontId="156" fillId="50" borderId="251" xfId="49" applyFill="1" applyBorder="1" applyAlignment="1" applyProtection="1">
      <alignment horizontal="center" vertical="center"/>
    </xf>
    <xf numFmtId="0" fontId="157" fillId="50" borderId="252" xfId="49" applyFont="1" applyFill="1" applyBorder="1" applyAlignment="1" applyProtection="1">
      <alignment horizontal="center" vertical="center"/>
    </xf>
    <xf numFmtId="0" fontId="156" fillId="50" borderId="252" xfId="49" applyFill="1" applyBorder="1" applyAlignment="1" applyProtection="1">
      <alignment horizontal="center" vertical="center" shrinkToFit="1"/>
    </xf>
    <xf numFmtId="0" fontId="156" fillId="50" borderId="252" xfId="49" applyFill="1" applyBorder="1" applyAlignment="1" applyProtection="1">
      <alignment horizontal="center" vertical="center"/>
    </xf>
    <xf numFmtId="0" fontId="156" fillId="50" borderId="253" xfId="49" applyFill="1" applyBorder="1" applyAlignment="1" applyProtection="1">
      <alignment horizontal="center" vertical="center"/>
    </xf>
    <xf numFmtId="0" fontId="156" fillId="0" borderId="254" xfId="49" applyBorder="1" applyProtection="1">
      <alignment vertical="center"/>
    </xf>
    <xf numFmtId="0" fontId="156" fillId="0" borderId="255" xfId="49" applyBorder="1" applyProtection="1">
      <alignment vertical="center"/>
    </xf>
    <xf numFmtId="0" fontId="156" fillId="0" borderId="255" xfId="49" applyBorder="1" applyAlignment="1" applyProtection="1">
      <alignment horizontal="center" vertical="center" shrinkToFit="1"/>
    </xf>
    <xf numFmtId="0" fontId="156" fillId="54" borderId="255" xfId="49" applyFill="1" applyBorder="1" applyProtection="1">
      <alignment vertical="center"/>
    </xf>
    <xf numFmtId="0" fontId="156" fillId="54" borderId="256" xfId="49" applyFill="1" applyBorder="1" applyProtection="1">
      <alignment vertical="center"/>
    </xf>
    <xf numFmtId="0" fontId="156" fillId="0" borderId="169" xfId="49" applyBorder="1" applyProtection="1">
      <alignment vertical="center"/>
    </xf>
    <xf numFmtId="0" fontId="156" fillId="0" borderId="257" xfId="49" applyBorder="1" applyProtection="1">
      <alignment vertical="center"/>
    </xf>
    <xf numFmtId="0" fontId="156" fillId="0" borderId="257" xfId="49" applyBorder="1" applyAlignment="1" applyProtection="1">
      <alignment horizontal="center" vertical="center" shrinkToFit="1"/>
    </xf>
    <xf numFmtId="0" fontId="156" fillId="54" borderId="257" xfId="49" applyFill="1" applyBorder="1" applyProtection="1">
      <alignment vertical="center"/>
    </xf>
    <xf numFmtId="0" fontId="156" fillId="54" borderId="171" xfId="49" applyFill="1" applyBorder="1" applyProtection="1">
      <alignment vertical="center"/>
    </xf>
    <xf numFmtId="0" fontId="156" fillId="0" borderId="52" xfId="49" applyBorder="1" applyProtection="1">
      <alignment vertical="center"/>
    </xf>
    <xf numFmtId="0" fontId="156" fillId="0" borderId="52" xfId="49" applyBorder="1" applyAlignment="1" applyProtection="1">
      <alignment horizontal="center" vertical="center" shrinkToFit="1"/>
    </xf>
    <xf numFmtId="0" fontId="156" fillId="0" borderId="52" xfId="49" applyFill="1" applyBorder="1" applyProtection="1">
      <alignment vertical="center"/>
    </xf>
    <xf numFmtId="0" fontId="156" fillId="0" borderId="123" xfId="49" applyBorder="1" applyProtection="1">
      <alignment vertical="center"/>
    </xf>
    <xf numFmtId="0" fontId="156" fillId="0" borderId="10" xfId="49" applyBorder="1" applyProtection="1">
      <alignment vertical="center"/>
    </xf>
    <xf numFmtId="0" fontId="13" fillId="24" borderId="51"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42" xfId="0" applyFont="1" applyFill="1" applyBorder="1" applyAlignment="1" applyProtection="1">
      <alignment horizontal="left" vertical="center" shrinkToFit="1"/>
      <protection locked="0"/>
    </xf>
    <xf numFmtId="181" fontId="13" fillId="24" borderId="69" xfId="0" applyNumberFormat="1" applyFont="1" applyFill="1" applyBorder="1" applyAlignment="1" applyProtection="1">
      <alignment horizontal="left" vertical="center" wrapText="1"/>
      <protection locked="0"/>
    </xf>
    <xf numFmtId="181" fontId="13" fillId="24" borderId="70" xfId="0" applyNumberFormat="1" applyFont="1" applyFill="1" applyBorder="1" applyAlignment="1" applyProtection="1">
      <alignment horizontal="left" vertical="center" wrapText="1"/>
      <protection locked="0"/>
    </xf>
    <xf numFmtId="181" fontId="13" fillId="24" borderId="202" xfId="0" applyNumberFormat="1" applyFont="1" applyFill="1" applyBorder="1" applyAlignment="1" applyProtection="1">
      <alignment horizontal="left" vertical="center" wrapText="1"/>
      <protection locked="0"/>
    </xf>
    <xf numFmtId="181" fontId="13" fillId="24" borderId="72"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203" xfId="0" applyNumberFormat="1" applyFont="1" applyFill="1" applyBorder="1" applyAlignment="1" applyProtection="1">
      <alignment horizontal="left" vertical="center" wrapText="1"/>
      <protection locked="0"/>
    </xf>
    <xf numFmtId="0" fontId="20" fillId="24" borderId="204" xfId="0" applyFont="1" applyFill="1" applyBorder="1" applyAlignment="1" applyProtection="1">
      <alignment horizontal="center" vertical="center"/>
      <protection locked="0"/>
    </xf>
    <xf numFmtId="0" fontId="20" fillId="24" borderId="205" xfId="0" applyFont="1" applyFill="1" applyBorder="1" applyAlignment="1" applyProtection="1">
      <alignment horizontal="center" vertical="center"/>
      <protection locked="0"/>
    </xf>
    <xf numFmtId="0" fontId="20" fillId="24" borderId="206" xfId="0" applyFont="1" applyFill="1" applyBorder="1" applyAlignment="1" applyProtection="1">
      <alignment horizontal="center" vertical="center"/>
      <protection locked="0"/>
    </xf>
    <xf numFmtId="55" fontId="13" fillId="0" borderId="207" xfId="0" applyNumberFormat="1" applyFont="1" applyFill="1" applyBorder="1" applyAlignment="1" applyProtection="1">
      <alignment horizontal="center" vertical="center" shrinkToFit="1"/>
      <protection hidden="1"/>
    </xf>
    <xf numFmtId="55" fontId="13" fillId="0" borderId="42" xfId="0" applyNumberFormat="1" applyFont="1" applyFill="1" applyBorder="1" applyAlignment="1" applyProtection="1">
      <alignment horizontal="center" vertical="center" shrinkToFit="1"/>
      <protection hidden="1"/>
    </xf>
    <xf numFmtId="55" fontId="13" fillId="0" borderId="208" xfId="0" applyNumberFormat="1" applyFont="1" applyFill="1" applyBorder="1" applyAlignment="1" applyProtection="1">
      <alignment horizontal="center" vertical="center" shrinkToFit="1"/>
      <protection hidden="1"/>
    </xf>
    <xf numFmtId="3" fontId="13" fillId="0" borderId="209" xfId="0" applyNumberFormat="1" applyFont="1" applyFill="1" applyBorder="1" applyAlignment="1" applyProtection="1">
      <alignment horizontal="center" vertical="center" shrinkToFit="1"/>
      <protection hidden="1"/>
    </xf>
    <xf numFmtId="3" fontId="13" fillId="0" borderId="210" xfId="0" applyNumberFormat="1" applyFont="1" applyFill="1" applyBorder="1" applyAlignment="1" applyProtection="1">
      <alignment horizontal="center" vertical="center" shrinkToFit="1"/>
      <protection hidden="1"/>
    </xf>
    <xf numFmtId="3" fontId="13" fillId="0" borderId="211" xfId="0" applyNumberFormat="1" applyFont="1" applyFill="1" applyBorder="1" applyAlignment="1" applyProtection="1">
      <alignment horizontal="center" vertical="center" shrinkToFit="1"/>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0" fontId="34" fillId="0" borderId="214" xfId="29" applyNumberFormat="1"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shrinkToFit="1"/>
      <protection hidden="1"/>
    </xf>
    <xf numFmtId="31" fontId="13" fillId="0" borderId="146" xfId="0" applyNumberFormat="1" applyFont="1" applyFill="1" applyBorder="1" applyAlignment="1" applyProtection="1">
      <alignment horizontal="center" vertical="center" shrinkToFit="1"/>
      <protection hidden="1"/>
    </xf>
    <xf numFmtId="0" fontId="18" fillId="0" borderId="148" xfId="0" applyFont="1" applyFill="1" applyBorder="1" applyAlignment="1" applyProtection="1">
      <alignment horizontal="center" vertical="center" shrinkToFit="1"/>
      <protection hidden="1"/>
    </xf>
    <xf numFmtId="0" fontId="18" fillId="0" borderId="146" xfId="0" applyFont="1" applyFill="1" applyBorder="1" applyAlignment="1" applyProtection="1">
      <alignment horizontal="center" vertical="center" shrinkToFit="1"/>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37" fontId="13" fillId="0" borderId="199" xfId="0" applyNumberFormat="1" applyFont="1" applyFill="1" applyBorder="1" applyAlignment="1" applyProtection="1">
      <alignment vertical="center" shrinkToFit="1"/>
      <protection hidden="1"/>
    </xf>
    <xf numFmtId="37" fontId="13" fillId="0" borderId="21" xfId="0" applyNumberFormat="1" applyFont="1" applyFill="1" applyBorder="1" applyAlignment="1" applyProtection="1">
      <alignment vertical="center" shrinkToFit="1"/>
      <protection hidden="1"/>
    </xf>
    <xf numFmtId="37" fontId="13" fillId="0" borderId="163" xfId="0" applyNumberFormat="1" applyFont="1" applyFill="1" applyBorder="1" applyAlignment="1" applyProtection="1">
      <alignment vertical="center" shrinkToFit="1"/>
      <protection hidden="1"/>
    </xf>
    <xf numFmtId="37" fontId="13" fillId="0" borderId="118" xfId="0" applyNumberFormat="1" applyFont="1" applyFill="1" applyBorder="1" applyAlignment="1" applyProtection="1">
      <alignment vertical="center" shrinkToFit="1"/>
      <protection hidden="1"/>
    </xf>
    <xf numFmtId="3" fontId="13" fillId="0" borderId="155" xfId="0" applyNumberFormat="1" applyFont="1" applyFill="1" applyBorder="1" applyAlignment="1" applyProtection="1">
      <alignment vertical="center" shrinkToFit="1"/>
      <protection hidden="1"/>
    </xf>
    <xf numFmtId="3" fontId="13" fillId="0" borderId="18" xfId="0" applyNumberFormat="1" applyFont="1" applyFill="1" applyBorder="1" applyAlignment="1" applyProtection="1">
      <alignment vertical="center" shrinkToFit="1"/>
      <protection hidden="1"/>
    </xf>
    <xf numFmtId="31" fontId="13" fillId="0" borderId="163" xfId="0" applyNumberFormat="1" applyFont="1" applyFill="1" applyBorder="1" applyAlignment="1" applyProtection="1">
      <alignment vertical="center" shrinkToFit="1"/>
      <protection hidden="1"/>
    </xf>
    <xf numFmtId="31" fontId="13" fillId="0" borderId="166" xfId="0" applyNumberFormat="1" applyFont="1" applyFill="1" applyBorder="1" applyAlignment="1" applyProtection="1">
      <alignment vertical="center" shrinkToFit="1"/>
      <protection hidden="1"/>
    </xf>
    <xf numFmtId="31" fontId="13" fillId="0" borderId="162" xfId="0" applyNumberFormat="1" applyFont="1" applyFill="1" applyBorder="1" applyAlignment="1" applyProtection="1">
      <alignment vertical="center" shrinkToFit="1"/>
      <protection hidden="1"/>
    </xf>
    <xf numFmtId="31" fontId="13" fillId="0" borderId="153" xfId="0" applyNumberFormat="1" applyFont="1" applyFill="1" applyBorder="1" applyAlignment="1" applyProtection="1">
      <alignment vertical="center" shrinkToFit="1"/>
      <protection hidden="1"/>
    </xf>
    <xf numFmtId="31" fontId="13" fillId="0" borderId="152" xfId="0" applyNumberFormat="1" applyFont="1" applyFill="1" applyBorder="1" applyAlignment="1" applyProtection="1">
      <alignment vertical="center" shrinkToFit="1"/>
      <protection hidden="1"/>
    </xf>
    <xf numFmtId="31" fontId="13" fillId="0" borderId="73" xfId="0" applyNumberFormat="1" applyFont="1" applyFill="1" applyBorder="1" applyAlignment="1" applyProtection="1">
      <alignment vertical="center" shrinkToFit="1"/>
      <protection hidden="1"/>
    </xf>
    <xf numFmtId="0" fontId="3" fillId="24" borderId="81"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25" xfId="0" applyFont="1" applyFill="1" applyBorder="1" applyAlignment="1" applyProtection="1">
      <alignment horizontal="left" vertical="top" wrapText="1"/>
      <protection hidden="1"/>
    </xf>
    <xf numFmtId="0" fontId="3" fillId="0" borderId="12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81" fontId="13" fillId="0" borderId="200" xfId="0" applyNumberFormat="1" applyFont="1" applyFill="1" applyBorder="1" applyAlignment="1" applyProtection="1">
      <alignment horizontal="center" vertical="center" shrinkToFit="1"/>
      <protection hidden="1"/>
    </xf>
    <xf numFmtId="181" fontId="13" fillId="0" borderId="99" xfId="0" applyNumberFormat="1" applyFont="1" applyFill="1" applyBorder="1" applyAlignment="1" applyProtection="1">
      <alignment horizontal="center" vertical="center" shrinkToFit="1"/>
      <protection hidden="1"/>
    </xf>
    <xf numFmtId="181" fontId="13" fillId="0" borderId="201" xfId="0" applyNumberFormat="1" applyFont="1" applyFill="1" applyBorder="1" applyAlignment="1" applyProtection="1">
      <alignment horizontal="center" vertical="center" shrinkToFit="1"/>
      <protection hidden="1"/>
    </xf>
    <xf numFmtId="0" fontId="3" fillId="24" borderId="24"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shrinkToFit="1"/>
      <protection hidden="1"/>
    </xf>
    <xf numFmtId="3" fontId="13" fillId="0" borderId="199"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 fontId="13" fillId="0" borderId="196" xfId="0" applyNumberFormat="1" applyFont="1" applyFill="1" applyBorder="1" applyAlignment="1" applyProtection="1">
      <alignment horizontal="center" vertical="center" shrinkToFit="1"/>
      <protection hidden="1"/>
    </xf>
    <xf numFmtId="0" fontId="13" fillId="0" borderId="152" xfId="0" applyFont="1" applyFill="1" applyBorder="1" applyAlignment="1" applyProtection="1">
      <alignment horizontal="center" vertical="center" shrinkToFit="1"/>
      <protection hidden="1"/>
    </xf>
    <xf numFmtId="0" fontId="13" fillId="0" borderId="70" xfId="0" applyFont="1" applyFill="1" applyBorder="1" applyAlignment="1" applyProtection="1">
      <alignment horizontal="center" vertical="center" shrinkToFit="1"/>
      <protection hidden="1"/>
    </xf>
    <xf numFmtId="0" fontId="13" fillId="0" borderId="197" xfId="0" applyFont="1" applyFill="1" applyBorder="1" applyAlignment="1" applyProtection="1">
      <alignment horizontal="center" vertical="center" shrinkToFit="1"/>
      <protection hidden="1"/>
    </xf>
    <xf numFmtId="0" fontId="13" fillId="0" borderId="199" xfId="0" applyFont="1" applyFill="1" applyBorder="1" applyAlignment="1" applyProtection="1">
      <alignment horizontal="center" vertical="center" shrinkToFit="1"/>
      <protection hidden="1"/>
    </xf>
    <xf numFmtId="0" fontId="13" fillId="0" borderId="21" xfId="0" applyFont="1" applyFill="1" applyBorder="1" applyAlignment="1" applyProtection="1">
      <alignment horizontal="center" vertical="center" shrinkToFit="1"/>
      <protection hidden="1"/>
    </xf>
    <xf numFmtId="0" fontId="13" fillId="0" borderId="196" xfId="0" applyFont="1" applyFill="1" applyBorder="1" applyAlignment="1" applyProtection="1">
      <alignment horizontal="center" vertical="center" shrinkToFit="1"/>
      <protection hidden="1"/>
    </xf>
    <xf numFmtId="0" fontId="149" fillId="0" borderId="23" xfId="0" applyFont="1" applyFill="1" applyBorder="1" applyAlignment="1" applyProtection="1">
      <alignment horizontal="left" vertical="top" wrapText="1"/>
      <protection hidden="1"/>
    </xf>
    <xf numFmtId="31" fontId="13" fillId="0" borderId="164" xfId="0" applyNumberFormat="1" applyFont="1" applyFill="1" applyBorder="1" applyAlignment="1" applyProtection="1">
      <alignment vertical="center" shrinkToFit="1"/>
      <protection hidden="1"/>
    </xf>
    <xf numFmtId="31" fontId="13" fillId="0" borderId="25" xfId="0" applyNumberFormat="1" applyFont="1" applyFill="1" applyBorder="1" applyAlignment="1" applyProtection="1">
      <alignment vertical="center" shrinkToFit="1"/>
      <protection hidden="1"/>
    </xf>
    <xf numFmtId="180" fontId="3" fillId="0" borderId="23" xfId="0" applyNumberFormat="1" applyFont="1" applyFill="1" applyBorder="1" applyAlignment="1" applyProtection="1">
      <alignment horizontal="left" vertical="top" shrinkToFit="1"/>
      <protection locked="0"/>
    </xf>
    <xf numFmtId="0" fontId="0" fillId="0" borderId="0" xfId="0"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180" fontId="3" fillId="0" borderId="24" xfId="0" applyNumberFormat="1" applyFont="1" applyFill="1" applyBorder="1" applyAlignment="1" applyProtection="1">
      <alignment horizontal="left" vertical="top" shrinkToFit="1"/>
      <protection locked="0"/>
    </xf>
    <xf numFmtId="0" fontId="0" fillId="0" borderId="19" xfId="0" applyBorder="1" applyAlignment="1" applyProtection="1">
      <alignment horizontal="left" vertical="top" shrinkToFit="1"/>
      <protection locked="0"/>
    </xf>
    <xf numFmtId="180" fontId="3" fillId="0" borderId="41" xfId="0" applyNumberFormat="1" applyFont="1" applyFill="1" applyBorder="1" applyAlignment="1" applyProtection="1">
      <alignment horizontal="left" vertical="top" shrinkToFit="1"/>
      <protection locked="0"/>
    </xf>
    <xf numFmtId="0" fontId="0" fillId="0" borderId="42" xfId="0" applyBorder="1" applyAlignment="1" applyProtection="1">
      <alignment horizontal="left" vertical="top" shrinkToFit="1"/>
      <protection locked="0"/>
    </xf>
    <xf numFmtId="180" fontId="3" fillId="0" borderId="77" xfId="0" applyNumberFormat="1" applyFont="1" applyFill="1" applyBorder="1" applyAlignment="1" applyProtection="1">
      <alignment horizontal="left" vertical="top" shrinkToFit="1"/>
      <protection locked="0"/>
    </xf>
    <xf numFmtId="0" fontId="0" fillId="0" borderId="70" xfId="0" applyBorder="1" applyAlignment="1" applyProtection="1">
      <alignment horizontal="left" vertical="top" shrinkToFit="1"/>
      <protection locked="0"/>
    </xf>
    <xf numFmtId="0" fontId="0" fillId="0" borderId="73" xfId="0" applyBorder="1" applyAlignment="1" applyProtection="1">
      <alignment horizontal="left" vertical="top" shrinkToFit="1"/>
      <protection locked="0"/>
    </xf>
    <xf numFmtId="180" fontId="3" fillId="0" borderId="122" xfId="0" applyNumberFormat="1" applyFont="1" applyFill="1" applyBorder="1" applyAlignment="1" applyProtection="1">
      <alignment horizontal="left" vertical="top" shrinkToFit="1"/>
      <protection locked="0"/>
    </xf>
    <xf numFmtId="180" fontId="3" fillId="0" borderId="21" xfId="0" applyNumberFormat="1" applyFont="1" applyFill="1" applyBorder="1" applyAlignment="1" applyProtection="1">
      <alignment horizontal="left" vertical="top" shrinkToFit="1"/>
      <protection locked="0"/>
    </xf>
    <xf numFmtId="180" fontId="3" fillId="0" borderId="54" xfId="0" applyNumberFormat="1" applyFont="1" applyFill="1" applyBorder="1" applyAlignment="1" applyProtection="1">
      <alignment horizontal="left" vertical="top" shrinkToFit="1"/>
      <protection locked="0"/>
    </xf>
    <xf numFmtId="0" fontId="0" fillId="0" borderId="20" xfId="0" applyBorder="1" applyAlignment="1" applyProtection="1">
      <alignment horizontal="left" vertical="top" shrinkToFit="1"/>
      <protection locked="0"/>
    </xf>
    <xf numFmtId="180" fontId="3" fillId="0" borderId="0" xfId="0" applyNumberFormat="1" applyFont="1" applyFill="1" applyBorder="1" applyAlignment="1" applyProtection="1">
      <alignment horizontal="left" vertical="top" shrinkToFit="1"/>
      <protection locked="0"/>
    </xf>
    <xf numFmtId="180" fontId="3" fillId="0" borderId="20" xfId="0" applyNumberFormat="1" applyFont="1" applyFill="1"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180" fontId="3" fillId="0" borderId="170" xfId="0" applyNumberFormat="1" applyFont="1" applyFill="1" applyBorder="1" applyAlignment="1" applyProtection="1">
      <alignment horizontal="left" vertical="top" shrinkToFit="1"/>
      <protection locked="0"/>
    </xf>
    <xf numFmtId="0" fontId="0" fillId="0" borderId="68" xfId="0" applyBorder="1" applyAlignment="1" applyProtection="1">
      <alignment horizontal="left" vertical="top" shrinkToFit="1"/>
      <protection locked="0"/>
    </xf>
    <xf numFmtId="0" fontId="0" fillId="0" borderId="215" xfId="0" applyBorder="1" applyAlignment="1" applyProtection="1">
      <alignment horizontal="left" vertical="top" shrinkToFit="1"/>
      <protection locked="0"/>
    </xf>
    <xf numFmtId="0" fontId="59" fillId="24" borderId="24" xfId="0" applyNumberFormat="1" applyFont="1" applyFill="1" applyBorder="1" applyAlignment="1" applyProtection="1">
      <alignment vertical="center"/>
      <protection hidden="1"/>
    </xf>
    <xf numFmtId="0" fontId="59" fillId="24" borderId="19" xfId="0" applyNumberFormat="1" applyFont="1" applyFill="1" applyBorder="1" applyAlignment="1" applyProtection="1">
      <alignment vertical="center"/>
      <protection hidden="1"/>
    </xf>
    <xf numFmtId="0" fontId="59" fillId="24" borderId="25" xfId="0" applyNumberFormat="1" applyFont="1" applyFill="1" applyBorder="1" applyAlignment="1" applyProtection="1">
      <alignment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protection locked="0"/>
    </xf>
    <xf numFmtId="0" fontId="0" fillId="24" borderId="0" xfId="0" applyFill="1" applyAlignment="1" applyProtection="1">
      <alignment horizontal="left" vertical="top" shrinkToFit="1"/>
      <protection locked="0"/>
    </xf>
    <xf numFmtId="0" fontId="0" fillId="24" borderId="0" xfId="0" applyFill="1" applyBorder="1" applyAlignment="1" applyProtection="1">
      <alignment horizontal="left" vertical="top" shrinkToFit="1"/>
      <protection locked="0"/>
    </xf>
    <xf numFmtId="180" fontId="3" fillId="0" borderId="113" xfId="0" applyNumberFormat="1" applyFont="1" applyFill="1" applyBorder="1" applyAlignment="1" applyProtection="1">
      <alignment horizontal="left" vertical="top" shrinkToFit="1"/>
      <protection locked="0"/>
    </xf>
    <xf numFmtId="0" fontId="0" fillId="0" borderId="99" xfId="0" applyBorder="1" applyAlignment="1" applyProtection="1">
      <alignment horizontal="left" vertical="top" shrinkToFit="1"/>
      <protection locked="0"/>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0" fontId="0" fillId="30" borderId="224" xfId="0" applyFill="1" applyBorder="1" applyAlignment="1" applyProtection="1">
      <alignment vertical="top" wrapText="1"/>
      <protection locked="0"/>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26" borderId="220" xfId="0" applyFill="1" applyBorder="1" applyAlignment="1" applyProtection="1">
      <alignment horizontal="center" vertical="center"/>
    </xf>
    <xf numFmtId="0" fontId="0" fillId="30" borderId="223"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0" fontId="13" fillId="25" borderId="26" xfId="44" applyFont="1" applyFill="1" applyBorder="1" applyAlignment="1" applyProtection="1">
      <alignment shrinkToFit="1"/>
    </xf>
    <xf numFmtId="0" fontId="13" fillId="25" borderId="53" xfId="44" applyFont="1" applyFill="1" applyBorder="1" applyAlignment="1" applyProtection="1">
      <alignment shrinkToFit="1"/>
    </xf>
    <xf numFmtId="0" fontId="13" fillId="25" borderId="21" xfId="44" applyFont="1" applyFill="1" applyBorder="1" applyAlignment="1" applyProtection="1">
      <alignment horizontal="left" wrapText="1"/>
    </xf>
    <xf numFmtId="0" fontId="13" fillId="25" borderId="51" xfId="44" applyFont="1" applyFill="1" applyBorder="1" applyAlignment="1" applyProtection="1">
      <alignment horizontal="center"/>
    </xf>
    <xf numFmtId="0" fontId="13" fillId="25" borderId="17" xfId="44" applyFont="1" applyFill="1" applyBorder="1" applyAlignment="1" applyProtection="1">
      <alignment horizontal="center"/>
    </xf>
    <xf numFmtId="0" fontId="13" fillId="25" borderId="51" xfId="44" applyFont="1" applyFill="1" applyBorder="1" applyAlignment="1" applyProtection="1">
      <alignment horizontal="center" vertical="center"/>
    </xf>
    <xf numFmtId="0" fontId="13" fillId="25" borderId="17" xfId="44" applyFont="1" applyFill="1" applyBorder="1" applyAlignment="1" applyProtection="1">
      <alignment horizontal="center" vertical="center"/>
    </xf>
    <xf numFmtId="0" fontId="13" fillId="24" borderId="51" xfId="44" applyFont="1" applyFill="1" applyBorder="1" applyAlignment="1" applyProtection="1">
      <alignment horizontal="left"/>
      <protection locked="0"/>
    </xf>
    <xf numFmtId="0" fontId="13" fillId="24" borderId="71" xfId="44" applyFont="1" applyFill="1" applyBorder="1" applyAlignment="1" applyProtection="1">
      <alignment horizontal="left"/>
      <protection locked="0"/>
    </xf>
    <xf numFmtId="0" fontId="3" fillId="25" borderId="42" xfId="0" applyFont="1" applyFill="1" applyBorder="1" applyAlignment="1" applyProtection="1">
      <alignment horizontal="left" wrapText="1"/>
    </xf>
    <xf numFmtId="0" fontId="3" fillId="25" borderId="42" xfId="0" applyFont="1" applyFill="1" applyBorder="1" applyAlignment="1" applyProtection="1">
      <alignment horizontal="left"/>
    </xf>
    <xf numFmtId="0" fontId="2" fillId="0" borderId="21" xfId="0" applyFont="1" applyFill="1" applyBorder="1" applyAlignment="1" applyProtection="1">
      <alignment vertical="center" shrinkToFit="1"/>
    </xf>
    <xf numFmtId="0" fontId="3" fillId="24" borderId="51" xfId="0" applyFont="1" applyFill="1" applyBorder="1" applyAlignment="1" applyProtection="1">
      <alignment vertical="center"/>
      <protection locked="0"/>
    </xf>
    <xf numFmtId="0" fontId="3" fillId="24" borderId="42" xfId="0" applyFont="1" applyFill="1" applyBorder="1" applyAlignment="1" applyProtection="1">
      <alignment vertical="center"/>
      <protection locked="0"/>
    </xf>
    <xf numFmtId="0" fontId="3" fillId="24" borderId="17" xfId="0" applyFont="1" applyFill="1" applyBorder="1" applyAlignment="1" applyProtection="1">
      <alignment vertical="center"/>
      <protection locked="0"/>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1" xfId="0" applyFont="1" applyFill="1" applyBorder="1" applyAlignment="1" applyProtection="1">
      <alignment vertical="center" wrapText="1"/>
      <protection hidden="1"/>
    </xf>
    <xf numFmtId="0" fontId="0" fillId="25" borderId="42" xfId="0" applyFont="1" applyFill="1" applyBorder="1" applyAlignment="1" applyProtection="1">
      <alignment vertical="center" wrapText="1"/>
      <protection hidden="1"/>
    </xf>
    <xf numFmtId="0" fontId="0" fillId="25" borderId="17" xfId="0" applyFont="1" applyFill="1" applyBorder="1" applyAlignment="1" applyProtection="1">
      <alignment vertical="center" wrapText="1"/>
      <protection hidden="1"/>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0" fillId="0" borderId="112" xfId="0" applyBorder="1" applyAlignment="1">
      <alignment horizontal="left" vertical="center" wrapText="1"/>
    </xf>
    <xf numFmtId="0" fontId="0" fillId="0" borderId="48" xfId="0" applyBorder="1" applyAlignment="1">
      <alignment horizontal="left" vertical="center" wrapText="1"/>
    </xf>
    <xf numFmtId="0" fontId="0" fillId="0" borderId="114" xfId="0" applyBorder="1" applyAlignment="1">
      <alignment horizontal="left" vertical="center" wrapText="1"/>
    </xf>
    <xf numFmtId="0" fontId="0" fillId="0" borderId="50" xfId="0" applyBorder="1" applyAlignment="1">
      <alignment horizontal="left" vertical="center" wrapText="1"/>
    </xf>
    <xf numFmtId="0" fontId="3" fillId="25" borderId="42" xfId="0" applyFont="1" applyFill="1" applyBorder="1" applyAlignment="1" applyProtection="1">
      <alignment vertical="center"/>
      <protection hidden="1"/>
    </xf>
    <xf numFmtId="0" fontId="0" fillId="25" borderId="42" xfId="0" applyFont="1" applyFill="1" applyBorder="1" applyAlignment="1" applyProtection="1">
      <alignment vertical="center"/>
      <protection hidden="1"/>
    </xf>
    <xf numFmtId="0" fontId="0" fillId="25" borderId="17" xfId="0" applyFont="1" applyFill="1" applyBorder="1" applyAlignment="1" applyProtection="1">
      <alignment vertical="center"/>
      <protection hidden="1"/>
    </xf>
    <xf numFmtId="0" fontId="3" fillId="25" borderId="42" xfId="0" applyFont="1" applyFill="1" applyBorder="1" applyAlignment="1" applyProtection="1">
      <alignment vertical="center" wrapText="1"/>
      <protection hidden="1"/>
    </xf>
    <xf numFmtId="0" fontId="3" fillId="25" borderId="49" xfId="0" applyFont="1" applyFill="1" applyBorder="1" applyAlignment="1" applyProtection="1">
      <alignment vertical="center" wrapText="1"/>
      <protection hidden="1"/>
    </xf>
    <xf numFmtId="0" fontId="0" fillId="0" borderId="114" xfId="0" applyFont="1" applyBorder="1" applyAlignment="1" applyProtection="1">
      <alignment vertical="center" wrapText="1"/>
      <protection hidden="1"/>
    </xf>
    <xf numFmtId="0" fontId="0" fillId="0" borderId="50" xfId="0" applyFont="1" applyBorder="1" applyAlignment="1" applyProtection="1">
      <alignment vertical="center" wrapText="1"/>
      <protection hidden="1"/>
    </xf>
    <xf numFmtId="0" fontId="3" fillId="25" borderId="47" xfId="0" applyFont="1" applyFill="1" applyBorder="1" applyAlignment="1" applyProtection="1">
      <alignment vertical="center" wrapText="1"/>
      <protection hidden="1"/>
    </xf>
    <xf numFmtId="0" fontId="68" fillId="0" borderId="112" xfId="0" applyFont="1" applyBorder="1" applyAlignment="1">
      <alignment vertical="center" wrapText="1"/>
    </xf>
    <xf numFmtId="0" fontId="68" fillId="0" borderId="48" xfId="0" applyFont="1" applyBorder="1" applyAlignment="1">
      <alignment vertical="center" wrapText="1"/>
    </xf>
    <xf numFmtId="0" fontId="68" fillId="0" borderId="114" xfId="0" applyFont="1" applyBorder="1" applyAlignment="1">
      <alignment vertical="center" wrapText="1"/>
    </xf>
    <xf numFmtId="0" fontId="68" fillId="0" borderId="50" xfId="0" applyFont="1" applyBorder="1" applyAlignment="1">
      <alignment vertical="center" wrapText="1"/>
    </xf>
    <xf numFmtId="0" fontId="3" fillId="25" borderId="189"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0" borderId="48" xfId="0" applyFont="1" applyBorder="1" applyAlignment="1" applyProtection="1">
      <alignment horizontal="left" vertical="center" wrapText="1"/>
      <protection hidden="1"/>
    </xf>
    <xf numFmtId="0" fontId="3" fillId="0" borderId="50" xfId="0" applyFont="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0" borderId="16" xfId="0" applyFont="1" applyBorder="1" applyAlignment="1" applyProtection="1">
      <alignment horizontal="left" vertical="center" wrapText="1"/>
      <protection hidden="1"/>
    </xf>
    <xf numFmtId="0" fontId="3" fillId="25" borderId="138" xfId="0" applyFont="1" applyFill="1" applyBorder="1" applyAlignment="1" applyProtection="1">
      <alignment horizontal="left" vertical="center" wrapText="1"/>
      <protection hidden="1"/>
    </xf>
    <xf numFmtId="0" fontId="3" fillId="0" borderId="139" xfId="0" applyFont="1" applyBorder="1" applyAlignment="1" applyProtection="1">
      <alignment horizontal="left" vertical="center" wrapText="1"/>
      <protection hidden="1"/>
    </xf>
    <xf numFmtId="0" fontId="0" fillId="0" borderId="112" xfId="0" applyFont="1" applyBorder="1" applyAlignment="1" applyProtection="1">
      <alignment vertical="center" wrapText="1"/>
      <protection hidden="1"/>
    </xf>
    <xf numFmtId="0" fontId="0" fillId="0" borderId="48" xfId="0" applyFont="1" applyBorder="1" applyAlignment="1" applyProtection="1">
      <alignment vertical="center" wrapText="1"/>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3"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0" fillId="0" borderId="121" xfId="0" applyFont="1" applyBorder="1" applyAlignment="1" applyProtection="1">
      <alignment horizontal="center" vertical="center" wrapText="1"/>
      <protection hidden="1"/>
    </xf>
    <xf numFmtId="0" fontId="0" fillId="0" borderId="221" xfId="0" applyFont="1" applyBorder="1" applyAlignment="1" applyProtection="1">
      <alignment horizontal="center" vertical="center" wrapText="1"/>
      <protection hidden="1"/>
    </xf>
    <xf numFmtId="0" fontId="3" fillId="25" borderId="177" xfId="0" applyFont="1" applyFill="1" applyBorder="1" applyAlignment="1" applyProtection="1">
      <alignment horizontal="center" vertical="center" wrapText="1"/>
      <protection hidden="1"/>
    </xf>
    <xf numFmtId="0" fontId="3" fillId="25" borderId="47" xfId="0" applyFont="1" applyFill="1" applyBorder="1" applyAlignment="1" applyProtection="1">
      <alignment vertical="center"/>
      <protection hidden="1"/>
    </xf>
    <xf numFmtId="0" fontId="0" fillId="0" borderId="112" xfId="0" applyFont="1" applyBorder="1" applyAlignment="1" applyProtection="1">
      <alignment vertical="center"/>
      <protection hidden="1"/>
    </xf>
    <xf numFmtId="0" fontId="0" fillId="0" borderId="48" xfId="0" applyFont="1" applyBorder="1" applyAlignment="1" applyProtection="1">
      <alignment vertical="center"/>
      <protection hidden="1"/>
    </xf>
    <xf numFmtId="0" fontId="3" fillId="25" borderId="49" xfId="0" applyFont="1" applyFill="1" applyBorder="1" applyAlignment="1" applyProtection="1">
      <alignment vertical="center"/>
      <protection hidden="1"/>
    </xf>
    <xf numFmtId="0" fontId="0" fillId="0" borderId="114" xfId="0" applyFont="1" applyBorder="1" applyAlignment="1" applyProtection="1">
      <alignment vertical="center"/>
      <protection hidden="1"/>
    </xf>
    <xf numFmtId="0" fontId="0" fillId="0" borderId="50" xfId="0" applyFont="1" applyBorder="1" applyAlignment="1" applyProtection="1">
      <alignment vertical="center"/>
      <protection hidden="1"/>
    </xf>
    <xf numFmtId="0" fontId="0" fillId="0" borderId="42"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3" fillId="0" borderId="46" xfId="0" applyFont="1" applyBorder="1" applyAlignment="1" applyProtection="1">
      <alignment horizontal="left" vertical="center" wrapText="1"/>
      <protection hidden="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5" xfId="0" applyFont="1" applyFill="1" applyBorder="1" applyAlignment="1" applyProtection="1">
      <alignment vertical="center" wrapText="1"/>
      <protection hidden="1"/>
    </xf>
    <xf numFmtId="0" fontId="3" fillId="25" borderId="18" xfId="0" applyFont="1" applyFill="1" applyBorder="1" applyAlignment="1" applyProtection="1">
      <alignment vertical="center" wrapText="1"/>
      <protection hidden="1"/>
    </xf>
    <xf numFmtId="0" fontId="3" fillId="25" borderId="46" xfId="0" applyFont="1" applyFill="1" applyBorder="1" applyAlignment="1" applyProtection="1">
      <alignment vertical="center" wrapText="1"/>
      <protection hidden="1"/>
    </xf>
    <xf numFmtId="0" fontId="3" fillId="25" borderId="138" xfId="0" applyFont="1" applyFill="1" applyBorder="1" applyAlignment="1" applyProtection="1">
      <alignment vertical="center" wrapText="1"/>
      <protection hidden="1"/>
    </xf>
    <xf numFmtId="0" fontId="3" fillId="25" borderId="118" xfId="0" applyFont="1" applyFill="1" applyBorder="1" applyAlignment="1" applyProtection="1">
      <alignment vertical="center" wrapText="1"/>
      <protection hidden="1"/>
    </xf>
    <xf numFmtId="0" fontId="3" fillId="25" borderId="139" xfId="0" applyFont="1" applyFill="1" applyBorder="1" applyAlignment="1" applyProtection="1">
      <alignment vertical="center" wrapText="1"/>
      <protection hidden="1"/>
    </xf>
    <xf numFmtId="0" fontId="0" fillId="0" borderId="17" xfId="0" applyFont="1" applyBorder="1" applyAlignment="1" applyProtection="1">
      <alignment vertical="center"/>
      <protection hidden="1"/>
    </xf>
    <xf numFmtId="202" fontId="27" fillId="26" borderId="132"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179" fontId="10" fillId="25" borderId="193" xfId="0" applyNumberFormat="1" applyFont="1" applyFill="1" applyBorder="1" applyAlignment="1" applyProtection="1">
      <alignment horizontal="center" vertical="center"/>
      <protection hidden="1"/>
    </xf>
    <xf numFmtId="179" fontId="10" fillId="25" borderId="107" xfId="0" applyNumberFormat="1" applyFont="1" applyFill="1" applyBorder="1" applyAlignment="1" applyProtection="1">
      <alignment horizontal="center" vertical="center"/>
      <protection hidden="1"/>
    </xf>
    <xf numFmtId="179" fontId="10" fillId="25" borderId="222"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applyFont="1" applyFill="1" applyBorder="1" applyAlignment="1" applyProtection="1">
      <alignment horizontal="left" vertical="center" wrapText="1"/>
      <protection hidden="1"/>
    </xf>
    <xf numFmtId="0" fontId="0" fillId="0" borderId="70" xfId="0" applyBorder="1">
      <alignment vertical="center"/>
    </xf>
    <xf numFmtId="0" fontId="0" fillId="0" borderId="97" xfId="0" applyBorder="1">
      <alignment vertical="center"/>
    </xf>
    <xf numFmtId="0" fontId="0" fillId="0" borderId="11" xfId="0" applyBorder="1">
      <alignment vertical="center"/>
    </xf>
    <xf numFmtId="0" fontId="0" fillId="0" borderId="0" xfId="0">
      <alignment vertical="center"/>
    </xf>
    <xf numFmtId="0" fontId="0" fillId="0" borderId="16" xfId="0" applyBorder="1">
      <alignment vertical="center"/>
    </xf>
    <xf numFmtId="0" fontId="0" fillId="0" borderId="72" xfId="0" applyBorder="1">
      <alignment vertical="center"/>
    </xf>
    <xf numFmtId="0" fontId="0" fillId="0" borderId="21" xfId="0" applyBorder="1">
      <alignment vertical="center"/>
    </xf>
    <xf numFmtId="0" fontId="0" fillId="0" borderId="54" xfId="0" applyBorder="1">
      <alignment vertical="center"/>
    </xf>
    <xf numFmtId="202" fontId="27" fillId="26" borderId="134" xfId="35" applyNumberFormat="1" applyFont="1" applyFill="1" applyBorder="1" applyAlignment="1" applyProtection="1">
      <alignment horizontal="center" vertical="center"/>
      <protection locked="0" hidden="1"/>
    </xf>
    <xf numFmtId="0" fontId="3" fillId="25" borderId="177"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1" xfId="0" applyFont="1" applyFill="1" applyBorder="1" applyAlignment="1" applyProtection="1">
      <alignment horizontal="center" vertical="center"/>
      <protection hidden="1"/>
    </xf>
    <xf numFmtId="0" fontId="10" fillId="26" borderId="5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protection hidden="1"/>
    </xf>
    <xf numFmtId="0" fontId="10" fillId="26" borderId="51" xfId="44" applyFont="1" applyFill="1" applyBorder="1" applyAlignment="1" applyProtection="1">
      <alignment horizontal="left" vertical="center" wrapText="1"/>
      <protection hidden="1"/>
    </xf>
    <xf numFmtId="0" fontId="10" fillId="26" borderId="71" xfId="44" applyFont="1" applyFill="1" applyBorder="1" applyAlignment="1" applyProtection="1">
      <alignment horizontal="left" vertical="center" wrapText="1"/>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10" fillId="26" borderId="120" xfId="0" applyFont="1" applyFill="1" applyBorder="1" applyAlignment="1" applyProtection="1">
      <alignment horizontal="center" vertical="center" wrapText="1"/>
    </xf>
    <xf numFmtId="0" fontId="10" fillId="26" borderId="107" xfId="0" applyFont="1" applyFill="1" applyBorder="1" applyAlignment="1" applyProtection="1">
      <alignment horizontal="center" vertical="center" wrapText="1"/>
    </xf>
    <xf numFmtId="0" fontId="10" fillId="26" borderId="10" xfId="0" applyFont="1" applyFill="1" applyBorder="1" applyAlignment="1" applyProtection="1">
      <alignment horizontal="center" vertical="center" wrapText="1"/>
    </xf>
    <xf numFmtId="0" fontId="3" fillId="41" borderId="0" xfId="0" applyFont="1" applyFill="1" applyBorder="1" applyAlignment="1" applyProtection="1">
      <alignment horizontal="left" vertical="center" wrapText="1"/>
    </xf>
    <xf numFmtId="0" fontId="3" fillId="25" borderId="11" xfId="0" applyFont="1" applyFill="1" applyBorder="1" applyAlignment="1" applyProtection="1">
      <alignment horizontal="left" vertical="top" wrapText="1"/>
    </xf>
    <xf numFmtId="0" fontId="3" fillId="25" borderId="0" xfId="0" applyFont="1" applyFill="1" applyBorder="1" applyAlignment="1" applyProtection="1">
      <alignment horizontal="left" vertical="top" wrapText="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0" fontId="0" fillId="0" borderId="18" xfId="0" applyFont="1" applyBorder="1" applyAlignment="1" applyProtection="1">
      <alignment vertical="center" wrapText="1"/>
      <protection hidden="1"/>
    </xf>
    <xf numFmtId="0" fontId="0" fillId="0" borderId="46" xfId="0" applyFont="1" applyBorder="1" applyAlignment="1" applyProtection="1">
      <alignment vertical="center" wrapText="1"/>
      <protection hidden="1"/>
    </xf>
    <xf numFmtId="0" fontId="3" fillId="25" borderId="41" xfId="0" applyFont="1" applyFill="1" applyBorder="1" applyAlignment="1" applyProtection="1">
      <alignment vertical="center"/>
      <protection hidden="1"/>
    </xf>
    <xf numFmtId="0" fontId="0" fillId="0" borderId="42" xfId="0" applyFont="1" applyBorder="1" applyAlignment="1" applyProtection="1">
      <alignment vertical="center"/>
      <protection hidden="1"/>
    </xf>
    <xf numFmtId="0" fontId="0" fillId="0" borderId="70" xfId="0" applyBorder="1" applyAlignment="1">
      <alignment vertical="center" wrapText="1"/>
    </xf>
    <xf numFmtId="0" fontId="0" fillId="0" borderId="97" xfId="0" applyBorder="1" applyAlignment="1">
      <alignment vertical="center" wrapText="1"/>
    </xf>
    <xf numFmtId="0" fontId="0" fillId="0" borderId="112" xfId="0" applyBorder="1" applyAlignment="1">
      <alignment vertical="center" wrapText="1"/>
    </xf>
    <xf numFmtId="0" fontId="0" fillId="0" borderId="48" xfId="0" applyBorder="1" applyAlignment="1">
      <alignment vertical="center" wrapText="1"/>
    </xf>
    <xf numFmtId="0" fontId="0" fillId="0" borderId="114" xfId="0" applyBorder="1" applyAlignment="1">
      <alignment vertical="center" wrapText="1"/>
    </xf>
    <xf numFmtId="0" fontId="0" fillId="0" borderId="50" xfId="0" applyBorder="1" applyAlignment="1">
      <alignment vertical="center" wrapText="1"/>
    </xf>
    <xf numFmtId="0" fontId="3" fillId="25" borderId="234" xfId="0" applyNumberFormat="1" applyFont="1" applyFill="1" applyBorder="1" applyAlignment="1" applyProtection="1">
      <alignment horizontal="left" vertical="center" wrapText="1"/>
      <protection hidden="1"/>
    </xf>
    <xf numFmtId="0" fontId="0" fillId="0" borderId="235" xfId="0" applyFont="1" applyBorder="1" applyAlignment="1" applyProtection="1">
      <alignment horizontal="left" vertical="center" wrapText="1"/>
      <protection hidden="1"/>
    </xf>
    <xf numFmtId="0" fontId="0" fillId="0" borderId="236" xfId="0" applyFont="1" applyBorder="1" applyAlignment="1" applyProtection="1">
      <alignment horizontal="left" vertical="center" wrapText="1"/>
      <protection hidden="1"/>
    </xf>
    <xf numFmtId="179" fontId="3" fillId="25" borderId="237" xfId="0" applyNumberFormat="1" applyFont="1" applyFill="1" applyBorder="1" applyAlignment="1" applyProtection="1">
      <alignment horizontal="left" vertical="center" wrapText="1"/>
      <protection hidden="1"/>
    </xf>
    <xf numFmtId="201" fontId="5" fillId="26" borderId="87" xfId="0" applyNumberFormat="1" applyFont="1" applyFill="1" applyBorder="1" applyAlignment="1" applyProtection="1">
      <alignment horizontal="center" vertical="center"/>
      <protection locked="0"/>
    </xf>
    <xf numFmtId="0" fontId="0" fillId="0" borderId="134" xfId="0" applyFont="1" applyBorder="1" applyAlignment="1" applyProtection="1">
      <alignment horizontal="center" vertical="center"/>
      <protection locked="0"/>
    </xf>
    <xf numFmtId="0" fontId="3" fillId="25" borderId="189" xfId="0" applyFont="1" applyFill="1" applyBorder="1" applyAlignment="1" applyProtection="1">
      <alignment horizontal="center" vertical="center"/>
      <protection hidden="1"/>
    </xf>
    <xf numFmtId="0" fontId="0" fillId="0" borderId="221" xfId="0" applyFont="1" applyBorder="1" applyAlignment="1" applyProtection="1">
      <alignment horizontal="center" vertical="center"/>
      <protection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0" fillId="0" borderId="15" xfId="0" applyFont="1" applyBorder="1" applyAlignment="1" applyProtection="1">
      <alignment horizontal="left" vertical="center" wrapText="1"/>
      <protection hidden="1"/>
    </xf>
    <xf numFmtId="0" fontId="0" fillId="0" borderId="116" xfId="0" applyFont="1" applyBorder="1" applyAlignment="1" applyProtection="1">
      <alignment horizontal="left" vertical="center" wrapText="1"/>
      <protection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pplyProtection="1">
      <alignment horizontal="left" vertical="center" wrapText="1"/>
      <protection hidden="1"/>
    </xf>
    <xf numFmtId="0" fontId="0" fillId="0" borderId="48" xfId="0" applyFont="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45"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0" fontId="3" fillId="25" borderId="47" xfId="0" applyFont="1" applyFill="1" applyBorder="1" applyAlignment="1" applyProtection="1">
      <alignment horizontal="left" vertical="center" wrapText="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5" xfId="0" applyFont="1" applyFill="1" applyBorder="1" applyAlignment="1" applyProtection="1">
      <alignment horizontal="left" vertical="center" wrapText="1"/>
    </xf>
    <xf numFmtId="0" fontId="3" fillId="25" borderId="115" xfId="0" applyFont="1" applyFill="1" applyBorder="1" applyAlignment="1" applyProtection="1">
      <alignment horizontal="left" vertical="center" wrapText="1"/>
    </xf>
    <xf numFmtId="0" fontId="3" fillId="25" borderId="116" xfId="0" applyFont="1" applyFill="1" applyBorder="1" applyAlignment="1" applyProtection="1">
      <alignment horizontal="left" vertical="center" wrapText="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0" fontId="0" fillId="0" borderId="120" xfId="0" applyBorder="1" applyAlignment="1">
      <alignment horizontal="center" vertical="center"/>
    </xf>
    <xf numFmtId="0" fontId="0" fillId="0" borderId="107" xfId="0" applyBorder="1" applyAlignment="1">
      <alignment horizontal="center" vertical="center"/>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0" fillId="0" borderId="112" xfId="0" applyFont="1" applyBorder="1" applyAlignment="1">
      <alignment horizontal="left" vertical="center" wrapText="1"/>
    </xf>
    <xf numFmtId="0" fontId="0" fillId="0" borderId="48" xfId="0" applyFont="1" applyBorder="1" applyAlignment="1">
      <alignment horizontal="left" vertical="center" wrapText="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01" xfId="0" applyFont="1" applyFill="1" applyBorder="1" applyAlignment="1" applyProtection="1">
      <alignment horizontal="center" vertical="center"/>
      <protection hidden="1"/>
    </xf>
    <xf numFmtId="0" fontId="3" fillId="25" borderId="138" xfId="0" applyFont="1" applyFill="1" applyBorder="1" applyAlignment="1" applyProtection="1">
      <alignment horizontal="left" vertical="center" wrapText="1"/>
    </xf>
    <xf numFmtId="0" fontId="3" fillId="25" borderId="118" xfId="0" applyFont="1" applyFill="1" applyBorder="1" applyAlignment="1" applyProtection="1">
      <alignment horizontal="left" vertical="center" wrapText="1"/>
    </xf>
    <xf numFmtId="0" fontId="3" fillId="25" borderId="139" xfId="0" applyFont="1" applyFill="1" applyBorder="1" applyAlignment="1" applyProtection="1">
      <alignment horizontal="left" vertical="center" wrapText="1"/>
    </xf>
    <xf numFmtId="0" fontId="13" fillId="25" borderId="51" xfId="0" applyFont="1" applyFill="1" applyBorder="1" applyAlignment="1" applyProtection="1">
      <alignment horizontal="center" vertical="center"/>
    </xf>
    <xf numFmtId="0" fontId="13" fillId="25" borderId="17" xfId="0" applyFont="1" applyFill="1" applyBorder="1" applyAlignment="1" applyProtection="1">
      <alignment horizontal="center" vertical="center"/>
    </xf>
    <xf numFmtId="0" fontId="13" fillId="25" borderId="11" xfId="0" applyFont="1" applyFill="1" applyBorder="1" applyAlignment="1" applyProtection="1">
      <alignment horizontal="left" vertical="center" wrapText="1"/>
    </xf>
    <xf numFmtId="0" fontId="13" fillId="25" borderId="20" xfId="0" applyFont="1" applyFill="1" applyBorder="1" applyAlignment="1" applyProtection="1">
      <alignment horizontal="left" vertical="center" wrapText="1"/>
    </xf>
    <xf numFmtId="0" fontId="13" fillId="25" borderId="51" xfId="0" applyFont="1" applyFill="1" applyBorder="1" applyAlignment="1" applyProtection="1">
      <alignment horizontal="left" vertical="center" wrapText="1"/>
    </xf>
    <xf numFmtId="0" fontId="13" fillId="25" borderId="17" xfId="0" applyFont="1" applyFill="1" applyBorder="1" applyAlignment="1" applyProtection="1">
      <alignment horizontal="left" vertical="center" wrapText="1"/>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0" fontId="13" fillId="25" borderId="107" xfId="0" applyFont="1" applyFill="1" applyBorder="1" applyAlignment="1" applyProtection="1">
      <alignment horizontal="center" vertical="center" wrapText="1"/>
    </xf>
    <xf numFmtId="0" fontId="13" fillId="25" borderId="71" xfId="0" applyFont="1" applyFill="1" applyBorder="1" applyAlignment="1" applyProtection="1">
      <alignment horizontal="left" vertical="center" wrapText="1"/>
    </xf>
    <xf numFmtId="0" fontId="13" fillId="25" borderId="69" xfId="0" applyFont="1" applyFill="1" applyBorder="1" applyAlignment="1" applyProtection="1">
      <alignment horizontal="left" vertical="center" wrapText="1"/>
    </xf>
    <xf numFmtId="0" fontId="13" fillId="25" borderId="97" xfId="0" applyFont="1" applyFill="1" applyBorder="1" applyAlignment="1" applyProtection="1">
      <alignment horizontal="left" vertical="center" wrapText="1"/>
    </xf>
    <xf numFmtId="178" fontId="13" fillId="30" borderId="10" xfId="0" applyNumberFormat="1" applyFont="1" applyFill="1" applyBorder="1" applyAlignment="1" applyProtection="1">
      <alignment horizontal="left" vertical="center" wrapText="1"/>
      <protection locked="0"/>
    </xf>
    <xf numFmtId="0" fontId="13" fillId="25" borderId="69"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97"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13" fillId="25" borderId="21" xfId="0" applyFont="1" applyFill="1" applyBorder="1" applyAlignment="1" applyProtection="1">
      <alignment horizontal="center" vertical="center"/>
    </xf>
    <xf numFmtId="0" fontId="13" fillId="25" borderId="54" xfId="0" applyFont="1" applyFill="1" applyBorder="1" applyAlignment="1" applyProtection="1">
      <alignment horizontal="center" vertical="center"/>
    </xf>
    <xf numFmtId="0" fontId="13" fillId="25" borderId="5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13" fillId="46" borderId="10" xfId="0" applyFont="1" applyFill="1" applyBorder="1" applyAlignment="1" applyProtection="1">
      <alignment horizontal="center" vertical="center" wrapText="1"/>
    </xf>
    <xf numFmtId="40" fontId="13" fillId="46" borderId="10" xfId="0" applyNumberFormat="1" applyFont="1" applyFill="1" applyBorder="1" applyAlignment="1" applyProtection="1">
      <alignment horizontal="center" vertical="center" wrapText="1"/>
    </xf>
    <xf numFmtId="40" fontId="13" fillId="25" borderId="45" xfId="0" applyNumberFormat="1" applyFont="1" applyFill="1" applyBorder="1" applyAlignment="1" applyProtection="1">
      <alignment horizontal="center" vertical="center" wrapText="1"/>
    </xf>
    <xf numFmtId="40" fontId="13" fillId="25" borderId="46" xfId="0" applyNumberFormat="1" applyFont="1" applyFill="1" applyBorder="1" applyAlignment="1" applyProtection="1">
      <alignment horizontal="center" vertical="center" wrapText="1"/>
    </xf>
    <xf numFmtId="40" fontId="13" fillId="25" borderId="49" xfId="0" applyNumberFormat="1" applyFont="1" applyFill="1" applyBorder="1" applyAlignment="1" applyProtection="1">
      <alignment horizontal="center" vertical="center" wrapText="1"/>
    </xf>
    <xf numFmtId="40" fontId="13" fillId="25" borderId="50" xfId="0" applyNumberFormat="1" applyFont="1" applyFill="1" applyBorder="1" applyAlignment="1" applyProtection="1">
      <alignment horizontal="center" vertical="center" wrapText="1"/>
    </xf>
    <xf numFmtId="0" fontId="13" fillId="25" borderId="69" xfId="0" applyFont="1" applyFill="1" applyBorder="1" applyAlignment="1" applyProtection="1">
      <alignment horizontal="center" vertical="center" wrapText="1"/>
    </xf>
    <xf numFmtId="0" fontId="13" fillId="25" borderId="70" xfId="0" applyFont="1" applyFill="1" applyBorder="1" applyAlignment="1" applyProtection="1">
      <alignment horizontal="center" vertical="center" wrapText="1"/>
    </xf>
    <xf numFmtId="0" fontId="13" fillId="25" borderId="97" xfId="0" applyFont="1" applyFill="1" applyBorder="1" applyAlignment="1" applyProtection="1">
      <alignment horizontal="center" vertical="center" wrapText="1"/>
    </xf>
    <xf numFmtId="40" fontId="13" fillId="25" borderId="10" xfId="0" applyNumberFormat="1" applyFont="1" applyFill="1" applyBorder="1" applyAlignment="1" applyProtection="1">
      <alignment horizontal="center" vertical="center" wrapText="1"/>
    </xf>
    <xf numFmtId="180" fontId="13" fillId="26" borderId="216" xfId="44" applyNumberFormat="1" applyFont="1" applyFill="1" applyBorder="1" applyAlignment="1" applyProtection="1">
      <alignment horizontal="center" vertical="center"/>
    </xf>
    <xf numFmtId="180" fontId="13" fillId="26" borderId="217" xfId="44" applyNumberFormat="1" applyFont="1" applyFill="1" applyBorder="1" applyAlignment="1" applyProtection="1">
      <alignment horizontal="center" vertical="center"/>
    </xf>
    <xf numFmtId="0" fontId="13" fillId="26" borderId="216" xfId="0" applyFont="1" applyFill="1" applyBorder="1" applyAlignment="1" applyProtection="1">
      <alignment horizontal="center" vertical="center"/>
    </xf>
    <xf numFmtId="0" fontId="13" fillId="26" borderId="217" xfId="0" applyFont="1" applyFill="1" applyBorder="1" applyAlignment="1" applyProtection="1">
      <alignment horizontal="center" vertical="center"/>
    </xf>
    <xf numFmtId="0" fontId="59" fillId="24" borderId="24" xfId="0" applyNumberFormat="1" applyFont="1" applyFill="1" applyBorder="1" applyAlignment="1" applyProtection="1">
      <alignment vertical="center" shrinkToFit="1"/>
    </xf>
    <xf numFmtId="0" fontId="59" fillId="24" borderId="19" xfId="0" applyNumberFormat="1" applyFont="1" applyFill="1" applyBorder="1" applyAlignment="1" applyProtection="1">
      <alignment vertical="center" shrinkToFit="1"/>
    </xf>
    <xf numFmtId="0" fontId="59" fillId="24" borderId="25" xfId="0" applyNumberFormat="1" applyFont="1" applyFill="1" applyBorder="1" applyAlignment="1" applyProtection="1">
      <alignment vertical="center" shrinkToFit="1"/>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0" fontId="13" fillId="0" borderId="0" xfId="0" applyFont="1" applyFill="1" applyBorder="1" applyAlignment="1" applyProtection="1">
      <alignment horizontal="left" vertical="top" shrinkToFit="1"/>
      <protection hidden="1"/>
    </xf>
    <xf numFmtId="0" fontId="0" fillId="0" borderId="0" xfId="0" applyFont="1" applyFill="1" applyAlignment="1" applyProtection="1">
      <alignment vertical="top" shrinkToFit="1"/>
      <protection hidden="1"/>
    </xf>
    <xf numFmtId="0" fontId="3" fillId="0" borderId="11" xfId="0" applyFont="1" applyFill="1" applyBorder="1" applyAlignment="1" applyProtection="1">
      <alignment horizontal="left" vertical="top" shrinkToFit="1"/>
      <protection hidden="1"/>
    </xf>
    <xf numFmtId="0" fontId="3" fillId="0" borderId="0" xfId="0" applyFont="1" applyFill="1" applyBorder="1" applyAlignment="1" applyProtection="1">
      <alignment horizontal="left" vertical="top" shrinkToFit="1"/>
      <protection hidden="1"/>
    </xf>
    <xf numFmtId="0" fontId="0" fillId="0" borderId="0" xfId="0" applyFont="1" applyAlignment="1" applyProtection="1">
      <alignment vertical="top" shrinkToFit="1"/>
      <protection hidden="1"/>
    </xf>
    <xf numFmtId="0" fontId="3" fillId="0" borderId="81" xfId="0" applyFont="1" applyFill="1" applyBorder="1" applyAlignment="1" applyProtection="1">
      <alignment horizontal="left" vertical="top" shrinkToFit="1"/>
      <protection hidden="1"/>
    </xf>
    <xf numFmtId="0" fontId="3" fillId="0" borderId="19" xfId="0" applyFont="1" applyFill="1" applyBorder="1" applyAlignment="1" applyProtection="1">
      <alignment horizontal="left" vertical="top" shrinkToFit="1"/>
      <protection hidden="1"/>
    </xf>
    <xf numFmtId="0" fontId="13" fillId="0" borderId="19" xfId="0" applyFont="1" applyFill="1" applyBorder="1" applyAlignment="1" applyProtection="1">
      <alignment horizontal="left" vertical="top" shrinkToFit="1"/>
      <protection hidden="1"/>
    </xf>
    <xf numFmtId="0" fontId="0" fillId="0" borderId="19" xfId="0" applyFont="1" applyBorder="1" applyAlignment="1" applyProtection="1">
      <alignment vertical="top" shrinkToFit="1"/>
      <protection hidden="1"/>
    </xf>
    <xf numFmtId="0" fontId="3" fillId="0" borderId="11" xfId="0" applyFont="1" applyFill="1" applyBorder="1" applyAlignment="1" applyProtection="1">
      <alignment horizontal="left" vertical="center" wrapText="1" shrinkToFit="1"/>
      <protection hidden="1"/>
    </xf>
    <xf numFmtId="0" fontId="3" fillId="0" borderId="0" xfId="0" applyFont="1" applyFill="1" applyBorder="1" applyAlignment="1" applyProtection="1">
      <alignment horizontal="left" vertical="center" shrinkToFit="1"/>
      <protection hidden="1"/>
    </xf>
    <xf numFmtId="0" fontId="3" fillId="0" borderId="11" xfId="0" applyFont="1" applyFill="1" applyBorder="1" applyAlignment="1" applyProtection="1">
      <alignment horizontal="left" vertical="center" shrinkToFit="1"/>
      <protection hidden="1"/>
    </xf>
    <xf numFmtId="0" fontId="0" fillId="0" borderId="0" xfId="0" applyFont="1" applyFill="1" applyBorder="1" applyAlignment="1" applyProtection="1">
      <alignment vertical="top" shrinkToFit="1"/>
      <protection hidden="1"/>
    </xf>
    <xf numFmtId="0" fontId="0" fillId="0" borderId="248" xfId="0" applyFont="1" applyFill="1" applyBorder="1" applyAlignment="1" applyProtection="1">
      <alignment vertical="top" shrinkToFit="1"/>
      <protection hidden="1"/>
    </xf>
    <xf numFmtId="0" fontId="163" fillId="34" borderId="0" xfId="50" applyFont="1" applyFill="1" applyBorder="1" applyAlignment="1" applyProtection="1">
      <alignment horizontal="left" vertical="center" wrapText="1"/>
      <protection hidden="1"/>
    </xf>
    <xf numFmtId="0" fontId="5" fillId="24" borderId="240" xfId="0" applyFont="1" applyFill="1" applyBorder="1" applyAlignment="1" applyProtection="1">
      <alignment horizontal="left" shrinkToFit="1"/>
      <protection hidden="1"/>
    </xf>
    <xf numFmtId="0" fontId="5" fillId="24" borderId="241" xfId="0" applyFont="1" applyFill="1" applyBorder="1" applyAlignment="1" applyProtection="1">
      <alignment horizontal="left" shrinkToFit="1"/>
      <protection hidden="1"/>
    </xf>
    <xf numFmtId="0" fontId="5" fillId="24" borderId="242" xfId="0" applyFont="1" applyFill="1" applyBorder="1" applyAlignment="1" applyProtection="1">
      <alignment horizontal="left" shrinkToFit="1"/>
      <protection hidden="1"/>
    </xf>
    <xf numFmtId="0" fontId="10" fillId="24" borderId="243" xfId="0" applyFont="1" applyFill="1" applyBorder="1" applyAlignment="1" applyProtection="1">
      <alignment horizontal="left" vertical="center" shrinkToFit="1"/>
      <protection hidden="1"/>
    </xf>
    <xf numFmtId="0" fontId="161" fillId="24" borderId="243" xfId="0" applyFont="1" applyFill="1" applyBorder="1" applyAlignment="1" applyProtection="1">
      <alignment horizontal="left" vertical="top" shrinkToFit="1"/>
      <protection hidden="1"/>
    </xf>
    <xf numFmtId="0" fontId="10" fillId="24" borderId="243" xfId="0" applyFont="1" applyFill="1" applyBorder="1" applyAlignment="1" applyProtection="1">
      <alignment horizontal="left" vertical="top" shrinkToFit="1"/>
      <protection hidden="1"/>
    </xf>
    <xf numFmtId="0" fontId="5" fillId="0" borderId="0" xfId="50" applyFont="1" applyFill="1" applyBorder="1" applyAlignment="1" applyProtection="1">
      <alignment horizontal="left" vertical="center" shrinkToFit="1"/>
    </xf>
    <xf numFmtId="0" fontId="13" fillId="0" borderId="0" xfId="50" applyFont="1" applyBorder="1" applyAlignment="1" applyProtection="1">
      <alignment horizontal="right" vertical="center"/>
      <protection hidden="1"/>
    </xf>
    <xf numFmtId="176" fontId="163" fillId="0" borderId="244" xfId="50" applyNumberFormat="1" applyFont="1" applyFill="1" applyBorder="1" applyAlignment="1" applyProtection="1">
      <alignment horizontal="center" vertical="center"/>
    </xf>
    <xf numFmtId="176" fontId="163" fillId="0" borderId="245" xfId="50" applyNumberFormat="1" applyFont="1" applyFill="1" applyBorder="1" applyAlignment="1" applyProtection="1">
      <alignment horizontal="center" vertical="center"/>
    </xf>
    <xf numFmtId="0" fontId="163" fillId="0" borderId="244" xfId="50" applyFont="1" applyFill="1" applyBorder="1" applyAlignment="1" applyProtection="1">
      <alignment horizontal="center" vertical="center"/>
    </xf>
    <xf numFmtId="0" fontId="163" fillId="0" borderId="245" xfId="50" applyFont="1" applyFill="1" applyBorder="1" applyAlignment="1" applyProtection="1">
      <alignment horizontal="center" vertical="center"/>
    </xf>
    <xf numFmtId="0" fontId="160" fillId="0" borderId="0" xfId="50" applyFont="1" applyBorder="1" applyAlignment="1" applyProtection="1">
      <alignment horizontal="center" vertical="center"/>
      <protection hidden="1"/>
    </xf>
    <xf numFmtId="0" fontId="160" fillId="0" borderId="20" xfId="50" applyFont="1" applyBorder="1" applyAlignment="1" applyProtection="1">
      <alignment horizontal="center" vertical="center"/>
      <protection hidden="1"/>
    </xf>
    <xf numFmtId="0" fontId="10" fillId="0" borderId="19" xfId="0" applyFont="1" applyFill="1" applyBorder="1" applyAlignment="1" applyProtection="1">
      <alignment horizontal="left" vertical="center" shrinkToFit="1"/>
      <protection hidden="1"/>
    </xf>
    <xf numFmtId="0" fontId="10" fillId="0" borderId="25" xfId="0" applyFont="1" applyFill="1" applyBorder="1" applyAlignment="1" applyProtection="1">
      <alignment horizontal="left" vertical="center" shrinkToFit="1"/>
      <protection hidden="1"/>
    </xf>
    <xf numFmtId="0" fontId="36" fillId="48" borderId="70" xfId="50" applyFont="1" applyFill="1" applyBorder="1" applyAlignment="1" applyProtection="1">
      <alignment horizontal="left" vertical="center" wrapText="1"/>
      <protection hidden="1"/>
    </xf>
    <xf numFmtId="0" fontId="163" fillId="48" borderId="0" xfId="50" applyFont="1" applyFill="1" applyBorder="1" applyAlignment="1" applyProtection="1">
      <alignment horizontal="left" vertical="center" wrapText="1"/>
      <protection hidden="1"/>
    </xf>
    <xf numFmtId="0" fontId="36" fillId="34" borderId="70" xfId="50" applyFont="1" applyFill="1" applyBorder="1" applyAlignment="1" applyProtection="1">
      <alignment horizontal="left" vertical="center" wrapText="1"/>
      <protection hidden="1"/>
    </xf>
    <xf numFmtId="0" fontId="13" fillId="0" borderId="0" xfId="0" applyFont="1" applyAlignment="1" applyProtection="1">
      <alignment vertical="center" shrinkToFit="1"/>
      <protection hidden="1"/>
    </xf>
    <xf numFmtId="0" fontId="5" fillId="34" borderId="21" xfId="50" applyFont="1" applyFill="1" applyBorder="1" applyAlignment="1" applyProtection="1">
      <alignment horizontal="left" vertical="center" wrapText="1"/>
      <protection hidden="1"/>
    </xf>
    <xf numFmtId="0" fontId="36" fillId="51" borderId="70" xfId="50" applyFont="1" applyFill="1" applyBorder="1" applyAlignment="1" applyProtection="1">
      <alignment horizontal="left" vertical="center" wrapText="1"/>
      <protection hidden="1"/>
    </xf>
    <xf numFmtId="0" fontId="163" fillId="51" borderId="0" xfId="50" applyFont="1" applyFill="1" applyBorder="1" applyAlignment="1" applyProtection="1">
      <alignment horizontal="left" vertical="center" wrapText="1"/>
      <protection hidden="1"/>
    </xf>
    <xf numFmtId="0" fontId="5" fillId="51" borderId="19" xfId="50" applyFont="1" applyFill="1" applyBorder="1" applyAlignment="1" applyProtection="1">
      <alignment horizontal="left" vertical="center" wrapText="1"/>
      <protection hidden="1"/>
    </xf>
    <xf numFmtId="0" fontId="3" fillId="30" borderId="87" xfId="0" applyFont="1" applyFill="1" applyBorder="1" applyAlignment="1" applyProtection="1">
      <alignment horizontal="left" vertical="top" wrapText="1"/>
      <protection locked="0"/>
    </xf>
    <xf numFmtId="0" fontId="3" fillId="30" borderId="88" xfId="0" applyFont="1" applyFill="1" applyBorder="1" applyAlignment="1" applyProtection="1">
      <alignment horizontal="left" vertical="top" wrapText="1"/>
      <protection locked="0"/>
    </xf>
    <xf numFmtId="0" fontId="3" fillId="30" borderId="78" xfId="0" applyFont="1" applyFill="1" applyBorder="1" applyAlignment="1" applyProtection="1">
      <alignment horizontal="left" vertical="top" wrapText="1"/>
      <protection locked="0"/>
    </xf>
    <xf numFmtId="0" fontId="3" fillId="30" borderId="79" xfId="0" applyFont="1" applyFill="1" applyBorder="1" applyAlignment="1" applyProtection="1">
      <alignment horizontal="left" vertical="top" wrapText="1"/>
      <protection locked="0"/>
    </xf>
    <xf numFmtId="0" fontId="3" fillId="30" borderId="80" xfId="0" applyFont="1" applyFill="1" applyBorder="1" applyAlignment="1" applyProtection="1">
      <alignment horizontal="left" vertical="top" wrapText="1"/>
      <protection locked="0"/>
    </xf>
    <xf numFmtId="0" fontId="3" fillId="30" borderId="24" xfId="0" applyFont="1" applyFill="1" applyBorder="1" applyAlignment="1" applyProtection="1">
      <alignment horizontal="left" vertical="top" wrapText="1"/>
      <protection locked="0"/>
    </xf>
    <xf numFmtId="0" fontId="3" fillId="30" borderId="19" xfId="0" applyFont="1" applyFill="1" applyBorder="1" applyAlignment="1" applyProtection="1">
      <alignment horizontal="left" vertical="top" wrapText="1"/>
      <protection locked="0"/>
    </xf>
    <xf numFmtId="0" fontId="3" fillId="30" borderId="25" xfId="0" applyFont="1" applyFill="1" applyBorder="1" applyAlignment="1" applyProtection="1">
      <alignment horizontal="left" vertical="top" wrapText="1"/>
      <protection locked="0"/>
    </xf>
    <xf numFmtId="0" fontId="3" fillId="0" borderId="69" xfId="0" applyFont="1" applyFill="1" applyBorder="1" applyAlignment="1" applyProtection="1">
      <alignment horizontal="left" vertical="top" shrinkToFit="1"/>
      <protection hidden="1"/>
    </xf>
    <xf numFmtId="0" fontId="3" fillId="0" borderId="70" xfId="0" applyFont="1" applyFill="1" applyBorder="1" applyAlignment="1" applyProtection="1">
      <alignment horizontal="left" vertical="top" shrinkToFit="1"/>
      <protection hidden="1"/>
    </xf>
    <xf numFmtId="0" fontId="13" fillId="0" borderId="70" xfId="0" applyFont="1" applyFill="1" applyBorder="1" applyAlignment="1" applyProtection="1">
      <alignment vertical="top" shrinkToFit="1"/>
      <protection hidden="1"/>
    </xf>
    <xf numFmtId="0" fontId="13" fillId="0" borderId="70" xfId="0" applyFont="1" applyBorder="1" applyAlignment="1" applyProtection="1">
      <alignment vertical="top" shrinkToFit="1"/>
      <protection hidden="1"/>
    </xf>
    <xf numFmtId="0" fontId="165" fillId="0" borderId="0" xfId="0" applyFont="1" applyFill="1" applyBorder="1" applyAlignment="1" applyProtection="1">
      <alignment horizontal="left" vertical="top" shrinkToFit="1"/>
      <protection hidden="1"/>
    </xf>
    <xf numFmtId="0" fontId="13" fillId="0" borderId="0" xfId="0" applyFont="1" applyAlignment="1" applyProtection="1">
      <alignment horizontal="left" vertical="top" shrinkToFit="1"/>
      <protection hidden="1"/>
    </xf>
    <xf numFmtId="0" fontId="13" fillId="0" borderId="0" xfId="0" applyFont="1" applyAlignment="1" applyProtection="1">
      <alignment vertical="top" shrinkToFit="1"/>
      <protection hidden="1"/>
    </xf>
    <xf numFmtId="0" fontId="13" fillId="0" borderId="21" xfId="0" applyFont="1" applyFill="1" applyBorder="1" applyAlignment="1" applyProtection="1">
      <alignment horizontal="left" vertical="top" shrinkToFit="1"/>
      <protection hidden="1"/>
    </xf>
    <xf numFmtId="0" fontId="13" fillId="0" borderId="21" xfId="0" applyFont="1" applyBorder="1" applyAlignment="1" applyProtection="1">
      <alignment vertical="top" shrinkToFit="1"/>
      <protection hidden="1"/>
    </xf>
    <xf numFmtId="176" fontId="62" fillId="53" borderId="11" xfId="0" applyNumberFormat="1" applyFont="1" applyFill="1" applyBorder="1" applyAlignment="1" applyProtection="1">
      <alignment horizontal="center" vertical="center" wrapText="1"/>
      <protection hidden="1"/>
    </xf>
    <xf numFmtId="176" fontId="62" fillId="53" borderId="20" xfId="0" applyNumberFormat="1" applyFont="1" applyFill="1" applyBorder="1" applyAlignment="1" applyProtection="1">
      <alignment horizontal="center" vertical="center" wrapText="1"/>
      <protection hidden="1"/>
    </xf>
    <xf numFmtId="176" fontId="62" fillId="53" borderId="81" xfId="0" applyNumberFormat="1" applyFont="1" applyFill="1" applyBorder="1" applyAlignment="1" applyProtection="1">
      <alignment horizontal="center" vertical="center" wrapText="1"/>
      <protection hidden="1"/>
    </xf>
    <xf numFmtId="176" fontId="62" fillId="53" borderId="25" xfId="0" applyNumberFormat="1" applyFont="1" applyFill="1" applyBorder="1" applyAlignment="1" applyProtection="1">
      <alignment horizontal="center" vertical="center" wrapText="1"/>
      <protection hidden="1"/>
    </xf>
    <xf numFmtId="210" fontId="62" fillId="52" borderId="11" xfId="48" applyNumberFormat="1" applyFont="1" applyFill="1" applyBorder="1" applyAlignment="1" applyProtection="1">
      <alignment horizontal="center" vertical="center" wrapText="1"/>
      <protection hidden="1"/>
    </xf>
    <xf numFmtId="210" fontId="62" fillId="52" borderId="20" xfId="48" applyNumberFormat="1" applyFont="1" applyFill="1" applyBorder="1" applyAlignment="1" applyProtection="1">
      <alignment horizontal="center" vertical="center" wrapText="1"/>
      <protection hidden="1"/>
    </xf>
    <xf numFmtId="210" fontId="62" fillId="52" borderId="81" xfId="48" applyNumberFormat="1" applyFont="1" applyFill="1" applyBorder="1" applyAlignment="1" applyProtection="1">
      <alignment horizontal="center" vertical="center" wrapText="1"/>
      <protection hidden="1"/>
    </xf>
    <xf numFmtId="210" fontId="62" fillId="52" borderId="25" xfId="48" applyNumberFormat="1" applyFont="1" applyFill="1" applyBorder="1" applyAlignment="1" applyProtection="1">
      <alignment horizontal="center" vertical="center" wrapText="1"/>
      <protection hidden="1"/>
    </xf>
    <xf numFmtId="0" fontId="5" fillId="52" borderId="120" xfId="0" applyFont="1" applyFill="1" applyBorder="1" applyAlignment="1" applyProtection="1">
      <alignment horizontal="center" vertical="center" wrapText="1"/>
      <protection hidden="1"/>
    </xf>
    <xf numFmtId="0" fontId="5" fillId="52" borderId="223" xfId="0" applyFont="1" applyFill="1" applyBorder="1" applyAlignment="1" applyProtection="1">
      <alignment horizontal="center" vertical="center" wrapText="1"/>
      <protection hidden="1"/>
    </xf>
    <xf numFmtId="189" fontId="62" fillId="52" borderId="11" xfId="48" applyNumberFormat="1" applyFont="1" applyFill="1" applyBorder="1" applyAlignment="1" applyProtection="1">
      <alignment horizontal="center" vertical="center" wrapText="1"/>
      <protection hidden="1"/>
    </xf>
    <xf numFmtId="189" fontId="62" fillId="52" borderId="20" xfId="48" applyNumberFormat="1" applyFont="1" applyFill="1" applyBorder="1" applyAlignment="1" applyProtection="1">
      <alignment horizontal="center" vertical="center" wrapText="1"/>
      <protection hidden="1"/>
    </xf>
    <xf numFmtId="189" fontId="62" fillId="52" borderId="81" xfId="48" applyNumberFormat="1" applyFont="1" applyFill="1" applyBorder="1" applyAlignment="1" applyProtection="1">
      <alignment horizontal="center" vertical="center" wrapText="1"/>
      <protection hidden="1"/>
    </xf>
    <xf numFmtId="189" fontId="62" fillId="52" borderId="25" xfId="48" applyNumberFormat="1" applyFont="1" applyFill="1" applyBorder="1" applyAlignment="1" applyProtection="1">
      <alignment horizontal="center" vertical="center" wrapText="1"/>
      <protection hidden="1"/>
    </xf>
    <xf numFmtId="0" fontId="13" fillId="0" borderId="70" xfId="0" applyFont="1" applyFill="1" applyBorder="1" applyAlignment="1" applyProtection="1">
      <alignment horizontal="left" vertical="top" shrinkToFit="1"/>
      <protection hidden="1"/>
    </xf>
    <xf numFmtId="0" fontId="0" fillId="0" borderId="70" xfId="0" applyFont="1" applyBorder="1" applyAlignment="1" applyProtection="1">
      <alignment vertical="top" shrinkToFit="1"/>
      <protection hidden="1"/>
    </xf>
    <xf numFmtId="0" fontId="156" fillId="54" borderId="26" xfId="49" applyFill="1" applyBorder="1" applyAlignment="1" applyProtection="1">
      <alignment horizontal="center" vertical="center"/>
    </xf>
    <xf numFmtId="0" fontId="156" fillId="54" borderId="52" xfId="49" applyFill="1" applyBorder="1" applyAlignment="1" applyProtection="1">
      <alignment horizontal="center" vertical="center"/>
    </xf>
    <xf numFmtId="0" fontId="156" fillId="54" borderId="53" xfId="49" applyFill="1" applyBorder="1" applyAlignment="1" applyProtection="1">
      <alignment horizontal="center" vertical="center"/>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9"/>
    <cellStyle name="標準_070627LCCO2計算" xfId="44"/>
    <cellStyle name="標準_Book1" xfId="50"/>
    <cellStyle name="標準_選定シートV1.0" xfId="45"/>
    <cellStyle name="良い" xfId="46" builtinId="26" customBuiltin="1"/>
  </cellStyles>
  <dxfs count="157">
    <dxf>
      <fill>
        <patternFill>
          <bgColor indexed="41"/>
        </patternFill>
      </fill>
    </dxf>
    <dxf>
      <fill>
        <patternFill>
          <bgColor indexed="51"/>
        </patternFill>
      </fill>
    </dxf>
    <dxf>
      <fill>
        <patternFill>
          <bgColor indexed="10"/>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7"/>
        </patternFill>
      </fill>
    </dxf>
    <dxf>
      <fill>
        <patternFill>
          <bgColor indexed="27"/>
        </patternFill>
      </fill>
    </dxf>
    <dxf>
      <fill>
        <patternFill>
          <bgColor indexed="27"/>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9.xml.rels><?xml version="1.0" encoding="UTF-8" standalone="yes"?>
<Relationships xmlns="http://schemas.openxmlformats.org/package/2006/relationships"><Relationship Id="rId1" Type="http://schemas.openxmlformats.org/officeDocument/2006/relationships/image" Target="../media/image5.png"/></Relationships>
</file>

<file path=xl/charts/_rels/chart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image" Target="../media/image9.jpeg"/></Relationships>
</file>

<file path=xl/charts/_rels/chart13.xml.rels><?xml version="1.0" encoding="UTF-8" standalone="yes"?>
<Relationships xmlns="http://schemas.openxmlformats.org/package/2006/relationships"><Relationship Id="rId1" Type="http://schemas.openxmlformats.org/officeDocument/2006/relationships/image" Target="../media/image9.jpeg"/></Relationships>
</file>

<file path=xl/charts/_rels/chart14.xml.rels><?xml version="1.0" encoding="UTF-8" standalone="yes"?>
<Relationships xmlns="http://schemas.openxmlformats.org/package/2006/relationships"><Relationship Id="rId1" Type="http://schemas.openxmlformats.org/officeDocument/2006/relationships/image" Target="../media/image9.jpeg"/></Relationships>
</file>

<file path=xl/charts/_rels/chart15.xml.rels><?xml version="1.0" encoding="UTF-8" standalone="yes"?>
<Relationships xmlns="http://schemas.openxmlformats.org/package/2006/relationships"><Relationship Id="rId1" Type="http://schemas.openxmlformats.org/officeDocument/2006/relationships/image" Target="../media/image9.jpeg"/></Relationships>
</file>

<file path=xl/charts/_rels/chart16.xml.rels><?xml version="1.0" encoding="UTF-8" standalone="yes"?>
<Relationships xmlns="http://schemas.openxmlformats.org/package/2006/relationships"><Relationship Id="rId1" Type="http://schemas.openxmlformats.org/officeDocument/2006/relationships/image" Target="../media/image9.jpeg"/></Relationships>
</file>

<file path=xl/charts/_rels/chart17.xml.rels><?xml version="1.0" encoding="UTF-8" standalone="yes"?>
<Relationships xmlns="http://schemas.openxmlformats.org/package/2006/relationships"><Relationship Id="rId1" Type="http://schemas.openxmlformats.org/officeDocument/2006/relationships/image" Target="../media/image9.jpeg"/></Relationships>
</file>

<file path=xl/charts/_rels/chart18.xml.rels><?xml version="1.0" encoding="UTF-8" standalone="yes"?>
<Relationships xmlns="http://schemas.openxmlformats.org/package/2006/relationships"><Relationship Id="rId1" Type="http://schemas.openxmlformats.org/officeDocument/2006/relationships/image" Target="../media/image9.jpeg"/></Relationships>
</file>

<file path=xl/charts/_rels/chart19.xml.rels><?xml version="1.0" encoding="UTF-8" standalone="yes"?>
<Relationships xmlns="http://schemas.openxmlformats.org/package/2006/relationships"><Relationship Id="rId1" Type="http://schemas.openxmlformats.org/officeDocument/2006/relationships/image" Target="../media/image9.jpeg"/></Relationships>
</file>

<file path=xl/charts/_rels/chart20.xml.rels><?xml version="1.0" encoding="UTF-8" standalone="yes"?>
<Relationships xmlns="http://schemas.openxmlformats.org/package/2006/relationships"><Relationship Id="rId1" Type="http://schemas.openxmlformats.org/officeDocument/2006/relationships/image" Target="../media/image9.jpeg"/></Relationships>
</file>

<file path=xl/charts/_rels/chart21.xml.rels><?xml version="1.0" encoding="UTF-8" standalone="yes"?>
<Relationships xmlns="http://schemas.openxmlformats.org/package/2006/relationships"><Relationship Id="rId1" Type="http://schemas.openxmlformats.org/officeDocument/2006/relationships/image" Target="../media/image9.jpeg"/></Relationships>
</file>

<file path=xl/charts/_rels/chart22.xml.rels><?xml version="1.0" encoding="UTF-8" standalone="yes"?>
<Relationships xmlns="http://schemas.openxmlformats.org/package/2006/relationships"><Relationship Id="rId1" Type="http://schemas.openxmlformats.org/officeDocument/2006/relationships/image" Target="../media/image9.jpeg"/></Relationships>
</file>

<file path=xl/charts/_rels/chart23.xml.rels><?xml version="1.0" encoding="UTF-8" standalone="yes"?>
<Relationships xmlns="http://schemas.openxmlformats.org/package/2006/relationships"><Relationship Id="rId1" Type="http://schemas.openxmlformats.org/officeDocument/2006/relationships/image" Target="../media/image9.jpeg"/></Relationships>
</file>

<file path=xl/charts/_rels/chart24.xml.rels><?xml version="1.0" encoding="UTF-8" standalone="yes"?>
<Relationships xmlns="http://schemas.openxmlformats.org/package/2006/relationships"><Relationship Id="rId1" Type="http://schemas.openxmlformats.org/officeDocument/2006/relationships/image" Target="../media/image9.jpeg"/></Relationships>
</file>

<file path=xl/charts/_rels/chart25.xml.rels><?xml version="1.0" encoding="UTF-8" standalone="yes"?>
<Relationships xmlns="http://schemas.openxmlformats.org/package/2006/relationships"><Relationship Id="rId1" Type="http://schemas.openxmlformats.org/officeDocument/2006/relationships/image" Target="../media/image9.jpeg"/></Relationships>
</file>

<file path=xl/charts/_rels/chart26.xml.rels><?xml version="1.0" encoding="UTF-8" standalone="yes"?>
<Relationships xmlns="http://schemas.openxmlformats.org/package/2006/relationships"><Relationship Id="rId1" Type="http://schemas.openxmlformats.org/officeDocument/2006/relationships/image" Target="../media/image9.jpeg"/></Relationships>
</file>

<file path=xl/charts/_rels/chart27.xml.rels><?xml version="1.0" encoding="UTF-8" standalone="yes"?>
<Relationships xmlns="http://schemas.openxmlformats.org/package/2006/relationships"><Relationship Id="rId1" Type="http://schemas.openxmlformats.org/officeDocument/2006/relationships/image" Target="../media/image9.jpeg"/></Relationships>
</file>

<file path=xl/charts/_rels/chart28.xml.rels><?xml version="1.0" encoding="UTF-8" standalone="yes"?>
<Relationships xmlns="http://schemas.openxmlformats.org/package/2006/relationships"><Relationship Id="rId1" Type="http://schemas.openxmlformats.org/officeDocument/2006/relationships/image" Target="../media/image9.jpeg"/></Relationships>
</file>

<file path=xl/charts/_rels/chart29.xml.rels><?xml version="1.0" encoding="UTF-8" standalone="yes"?>
<Relationships xmlns="http://schemas.openxmlformats.org/package/2006/relationships"><Relationship Id="rId1" Type="http://schemas.openxmlformats.org/officeDocument/2006/relationships/image" Target="../media/image9.jpeg"/></Relationships>
</file>

<file path=xl/charts/_rels/chart30.xml.rels><?xml version="1.0" encoding="UTF-8" standalone="yes"?>
<Relationships xmlns="http://schemas.openxmlformats.org/package/2006/relationships"><Relationship Id="rId1" Type="http://schemas.openxmlformats.org/officeDocument/2006/relationships/image" Target="../media/image9.jpeg"/></Relationships>
</file>

<file path=xl/charts/_rels/chart31.xml.rels><?xml version="1.0" encoding="UTF-8" standalone="yes"?>
<Relationships xmlns="http://schemas.openxmlformats.org/package/2006/relationships"><Relationship Id="rId1" Type="http://schemas.openxmlformats.org/officeDocument/2006/relationships/image" Target="../media/image9.jpeg"/></Relationships>
</file>

<file path=xl/charts/_rels/chart32.xml.rels><?xml version="1.0" encoding="UTF-8" standalone="yes"?>
<Relationships xmlns="http://schemas.openxmlformats.org/package/2006/relationships"><Relationship Id="rId1" Type="http://schemas.openxmlformats.org/officeDocument/2006/relationships/image" Target="../media/image9.jpeg"/></Relationships>
</file>

<file path=xl/charts/_rels/chart33.xml.rels><?xml version="1.0" encoding="UTF-8" standalone="yes"?>
<Relationships xmlns="http://schemas.openxmlformats.org/package/2006/relationships"><Relationship Id="rId1" Type="http://schemas.openxmlformats.org/officeDocument/2006/relationships/image" Target="../media/image9.jpeg"/></Relationships>
</file>

<file path=xl/charts/_rels/chart34.xml.rels><?xml version="1.0" encoding="UTF-8" standalone="yes"?>
<Relationships xmlns="http://schemas.openxmlformats.org/package/2006/relationships"><Relationship Id="rId1" Type="http://schemas.openxmlformats.org/officeDocument/2006/relationships/image" Target="../media/image9.jpeg"/></Relationships>
</file>

<file path=xl/charts/_rels/chart35.xml.rels><?xml version="1.0" encoding="UTF-8" standalone="yes"?>
<Relationships xmlns="http://schemas.openxmlformats.org/package/2006/relationships"><Relationship Id="rId1" Type="http://schemas.openxmlformats.org/officeDocument/2006/relationships/image" Target="../media/image9.jpeg"/></Relationships>
</file>

<file path=xl/charts/_rels/chart36.xml.rels><?xml version="1.0" encoding="UTF-8" standalone="yes"?>
<Relationships xmlns="http://schemas.openxmlformats.org/package/2006/relationships"><Relationship Id="rId1" Type="http://schemas.openxmlformats.org/officeDocument/2006/relationships/image" Target="../media/image9.jpeg"/></Relationships>
</file>

<file path=xl/charts/_rels/chart37.xml.rels><?xml version="1.0" encoding="UTF-8" standalone="yes"?>
<Relationships xmlns="http://schemas.openxmlformats.org/package/2006/relationships"><Relationship Id="rId1" Type="http://schemas.openxmlformats.org/officeDocument/2006/relationships/image" Target="../media/image9.jpeg"/></Relationships>
</file>

<file path=xl/charts/_rels/chart38.xml.rels><?xml version="1.0" encoding="UTF-8" standalone="yes"?>
<Relationships xmlns="http://schemas.openxmlformats.org/package/2006/relationships"><Relationship Id="rId1" Type="http://schemas.openxmlformats.org/officeDocument/2006/relationships/image" Target="../media/image9.jpeg"/></Relationships>
</file>

<file path=xl/charts/_rels/chart39.xml.rels><?xml version="1.0" encoding="UTF-8" standalone="yes"?>
<Relationships xmlns="http://schemas.openxmlformats.org/package/2006/relationships"><Relationship Id="rId1" Type="http://schemas.openxmlformats.org/officeDocument/2006/relationships/image" Target="../media/image9.jpeg"/></Relationships>
</file>

<file path=xl/charts/_rels/chart40.xml.rels><?xml version="1.0" encoding="UTF-8" standalone="yes"?>
<Relationships xmlns="http://schemas.openxmlformats.org/package/2006/relationships"><Relationship Id="rId1" Type="http://schemas.openxmlformats.org/officeDocument/2006/relationships/image" Target="../media/image9.jpeg"/></Relationships>
</file>

<file path=xl/charts/_rels/chart41.xml.rels><?xml version="1.0" encoding="UTF-8" standalone="yes"?>
<Relationships xmlns="http://schemas.openxmlformats.org/package/2006/relationships"><Relationship Id="rId1" Type="http://schemas.openxmlformats.org/officeDocument/2006/relationships/image" Target="../media/image9.jpeg"/></Relationships>
</file>

<file path=xl/charts/_rels/chart42.xml.rels><?xml version="1.0" encoding="UTF-8" standalone="yes"?>
<Relationships xmlns="http://schemas.openxmlformats.org/package/2006/relationships"><Relationship Id="rId1" Type="http://schemas.openxmlformats.org/officeDocument/2006/relationships/image" Target="../media/image9.jpeg"/></Relationships>
</file>

<file path=xl/charts/_rels/chart43.xml.rels><?xml version="1.0" encoding="UTF-8" standalone="yes"?>
<Relationships xmlns="http://schemas.openxmlformats.org/package/2006/relationships"><Relationship Id="rId1" Type="http://schemas.openxmlformats.org/officeDocument/2006/relationships/image" Target="../media/image9.jpeg"/></Relationships>
</file>

<file path=xl/charts/_rels/chart44.xml.rels><?xml version="1.0" encoding="UTF-8" standalone="yes"?>
<Relationships xmlns="http://schemas.openxmlformats.org/package/2006/relationships"><Relationship Id="rId1" Type="http://schemas.openxmlformats.org/officeDocument/2006/relationships/image" Target="../media/image9.jpeg"/></Relationships>
</file>

<file path=xl/charts/_rels/chart45.xml.rels><?xml version="1.0" encoding="UTF-8" standalone="yes"?>
<Relationships xmlns="http://schemas.openxmlformats.org/package/2006/relationships"><Relationship Id="rId1" Type="http://schemas.openxmlformats.org/officeDocument/2006/relationships/image" Target="../media/image9.jpeg"/></Relationships>
</file>

<file path=xl/charts/_rels/chart46.xml.rels><?xml version="1.0" encoding="UTF-8" standalone="yes"?>
<Relationships xmlns="http://schemas.openxmlformats.org/package/2006/relationships"><Relationship Id="rId1" Type="http://schemas.openxmlformats.org/officeDocument/2006/relationships/image" Target="../media/image9.jpeg"/></Relationships>
</file>

<file path=xl/charts/_rels/chart47.xml.rels><?xml version="1.0" encoding="UTF-8" standalone="yes"?>
<Relationships xmlns="http://schemas.openxmlformats.org/package/2006/relationships"><Relationship Id="rId1" Type="http://schemas.openxmlformats.org/officeDocument/2006/relationships/image" Target="../media/image9.jpeg"/></Relationships>
</file>

<file path=xl/charts/_rels/chart48.xml.rels><?xml version="1.0" encoding="UTF-8" standalone="yes"?>
<Relationships xmlns="http://schemas.openxmlformats.org/package/2006/relationships"><Relationship Id="rId1" Type="http://schemas.openxmlformats.org/officeDocument/2006/relationships/image" Target="../media/image9.jpeg"/></Relationships>
</file>

<file path=xl/charts/_rels/chart49.xml.rels><?xml version="1.0" encoding="UTF-8" standalone="yes"?>
<Relationships xmlns="http://schemas.openxmlformats.org/package/2006/relationships"><Relationship Id="rId1" Type="http://schemas.openxmlformats.org/officeDocument/2006/relationships/image" Target="../media/image9.jpeg"/></Relationships>
</file>

<file path=xl/charts/_rels/chart50.xml.rels><?xml version="1.0" encoding="UTF-8" standalone="yes"?>
<Relationships xmlns="http://schemas.openxmlformats.org/package/2006/relationships"><Relationship Id="rId1" Type="http://schemas.openxmlformats.org/officeDocument/2006/relationships/image" Target="../media/image9.jpeg"/></Relationships>
</file>

<file path=xl/charts/_rels/chart51.xml.rels><?xml version="1.0" encoding="UTF-8" standalone="yes"?>
<Relationships xmlns="http://schemas.openxmlformats.org/package/2006/relationships"><Relationship Id="rId1" Type="http://schemas.openxmlformats.org/officeDocument/2006/relationships/image" Target="../media/image9.jpeg"/></Relationships>
</file>

<file path=xl/charts/_rels/chart52.xml.rels><?xml version="1.0" encoding="UTF-8" standalone="yes"?>
<Relationships xmlns="http://schemas.openxmlformats.org/package/2006/relationships"><Relationship Id="rId1" Type="http://schemas.openxmlformats.org/officeDocument/2006/relationships/image" Target="../media/image9.jpeg"/></Relationships>
</file>

<file path=xl/charts/_rels/chart53.xml.rels><?xml version="1.0" encoding="UTF-8" standalone="yes"?>
<Relationships xmlns="http://schemas.openxmlformats.org/package/2006/relationships"><Relationship Id="rId1" Type="http://schemas.openxmlformats.org/officeDocument/2006/relationships/image" Target="../media/image9.jpeg"/></Relationships>
</file>

<file path=xl/charts/_rels/chart54.xml.rels><?xml version="1.0" encoding="UTF-8" standalone="yes"?>
<Relationships xmlns="http://schemas.openxmlformats.org/package/2006/relationships"><Relationship Id="rId1" Type="http://schemas.openxmlformats.org/officeDocument/2006/relationships/image" Target="../media/image9.jpeg"/></Relationships>
</file>

<file path=xl/charts/_rels/chart55.xml.rels><?xml version="1.0" encoding="UTF-8" standalone="yes"?>
<Relationships xmlns="http://schemas.openxmlformats.org/package/2006/relationships"><Relationship Id="rId1" Type="http://schemas.openxmlformats.org/officeDocument/2006/relationships/image" Target="../media/image9.jpeg"/></Relationships>
</file>

<file path=xl/charts/_rels/chart56.xml.rels><?xml version="1.0" encoding="UTF-8" standalone="yes"?>
<Relationships xmlns="http://schemas.openxmlformats.org/package/2006/relationships"><Relationship Id="rId1" Type="http://schemas.openxmlformats.org/officeDocument/2006/relationships/image" Target="../media/image9.jpeg"/></Relationships>
</file>

<file path=xl/charts/_rels/chart57.xml.rels><?xml version="1.0" encoding="UTF-8" standalone="yes"?>
<Relationships xmlns="http://schemas.openxmlformats.org/package/2006/relationships"><Relationship Id="rId1" Type="http://schemas.openxmlformats.org/officeDocument/2006/relationships/image" Target="../media/image9.jpeg"/></Relationships>
</file>

<file path=xl/charts/_rels/chart58.xml.rels><?xml version="1.0" encoding="UTF-8" standalone="yes"?>
<Relationships xmlns="http://schemas.openxmlformats.org/package/2006/relationships"><Relationship Id="rId1" Type="http://schemas.openxmlformats.org/officeDocument/2006/relationships/image" Target="../media/image9.jpeg"/></Relationships>
</file>

<file path=xl/charts/_rels/chart59.xml.rels><?xml version="1.0" encoding="UTF-8" standalone="yes"?>
<Relationships xmlns="http://schemas.openxmlformats.org/package/2006/relationships"><Relationship Id="rId1" Type="http://schemas.openxmlformats.org/officeDocument/2006/relationships/image" Target="../media/image9.jpeg"/></Relationships>
</file>

<file path=xl/charts/_rels/chart60.xml.rels><?xml version="1.0" encoding="UTF-8" standalone="yes"?>
<Relationships xmlns="http://schemas.openxmlformats.org/package/2006/relationships"><Relationship Id="rId1" Type="http://schemas.openxmlformats.org/officeDocument/2006/relationships/image" Target="../media/image9.jpeg"/></Relationships>
</file>

<file path=xl/charts/_rels/chart61.xml.rels><?xml version="1.0" encoding="UTF-8" standalone="yes"?>
<Relationships xmlns="http://schemas.openxmlformats.org/package/2006/relationships"><Relationship Id="rId1" Type="http://schemas.openxmlformats.org/officeDocument/2006/relationships/image" Target="../media/image9.jpeg"/></Relationships>
</file>

<file path=xl/charts/_rels/chart62.xml.rels><?xml version="1.0" encoding="UTF-8" standalone="yes"?>
<Relationships xmlns="http://schemas.openxmlformats.org/package/2006/relationships"><Relationship Id="rId1" Type="http://schemas.openxmlformats.org/officeDocument/2006/relationships/image" Target="../media/image9.jpeg"/></Relationships>
</file>

<file path=xl/charts/_rels/chart63.xml.rels><?xml version="1.0" encoding="UTF-8" standalone="yes"?>
<Relationships xmlns="http://schemas.openxmlformats.org/package/2006/relationships"><Relationship Id="rId1" Type="http://schemas.openxmlformats.org/officeDocument/2006/relationships/image" Target="../media/image9.jpeg"/></Relationships>
</file>

<file path=xl/charts/_rels/chart64.xml.rels><?xml version="1.0" encoding="UTF-8" standalone="yes"?>
<Relationships xmlns="http://schemas.openxmlformats.org/package/2006/relationships"><Relationship Id="rId1" Type="http://schemas.openxmlformats.org/officeDocument/2006/relationships/image" Target="../media/image9.jpeg"/></Relationships>
</file>

<file path=xl/charts/_rels/chart65.xml.rels><?xml version="1.0" encoding="UTF-8" standalone="yes"?>
<Relationships xmlns="http://schemas.openxmlformats.org/package/2006/relationships"><Relationship Id="rId1" Type="http://schemas.openxmlformats.org/officeDocument/2006/relationships/image" Target="../media/image9.jpeg"/></Relationships>
</file>

<file path=xl/charts/_rels/chart66.xml.rels><?xml version="1.0" encoding="UTF-8" standalone="yes"?>
<Relationships xmlns="http://schemas.openxmlformats.org/package/2006/relationships"><Relationship Id="rId1" Type="http://schemas.openxmlformats.org/officeDocument/2006/relationships/image" Target="../media/image9.jpeg"/></Relationships>
</file>

<file path=xl/charts/_rels/chart67.xml.rels><?xml version="1.0" encoding="UTF-8" standalone="yes"?>
<Relationships xmlns="http://schemas.openxmlformats.org/package/2006/relationships"><Relationship Id="rId1" Type="http://schemas.openxmlformats.org/officeDocument/2006/relationships/image" Target="../media/image9.jpeg"/></Relationships>
</file>

<file path=xl/charts/_rels/chart68.xml.rels><?xml version="1.0" encoding="UTF-8" standalone="yes"?>
<Relationships xmlns="http://schemas.openxmlformats.org/package/2006/relationships"><Relationship Id="rId1" Type="http://schemas.openxmlformats.org/officeDocument/2006/relationships/image" Target="../media/image9.jpeg"/></Relationships>
</file>

<file path=xl/charts/_rels/chart69.xml.rels><?xml version="1.0" encoding="UTF-8" standalone="yes"?>
<Relationships xmlns="http://schemas.openxmlformats.org/package/2006/relationships"><Relationship Id="rId1" Type="http://schemas.openxmlformats.org/officeDocument/2006/relationships/image" Target="../media/image9.jpeg"/></Relationships>
</file>

<file path=xl/charts/_rels/chart70.xml.rels><?xml version="1.0" encoding="UTF-8" standalone="yes"?>
<Relationships xmlns="http://schemas.openxmlformats.org/package/2006/relationships"><Relationship Id="rId1" Type="http://schemas.openxmlformats.org/officeDocument/2006/relationships/image" Target="../media/image9.jpeg"/></Relationships>
</file>

<file path=xl/charts/_rels/chart71.xml.rels><?xml version="1.0" encoding="UTF-8" standalone="yes"?>
<Relationships xmlns="http://schemas.openxmlformats.org/package/2006/relationships"><Relationship Id="rId1" Type="http://schemas.openxmlformats.org/officeDocument/2006/relationships/image" Target="../media/image9.jpeg"/></Relationships>
</file>

<file path=xl/charts/_rels/chart72.xml.rels><?xml version="1.0" encoding="UTF-8" standalone="yes"?>
<Relationships xmlns="http://schemas.openxmlformats.org/package/2006/relationships"><Relationship Id="rId1" Type="http://schemas.openxmlformats.org/officeDocument/2006/relationships/image" Target="../media/image9.jpeg"/></Relationships>
</file>

<file path=xl/charts/_rels/chart73.xml.rels><?xml version="1.0" encoding="UTF-8" standalone="yes"?>
<Relationships xmlns="http://schemas.openxmlformats.org/package/2006/relationships"><Relationship Id="rId1" Type="http://schemas.openxmlformats.org/officeDocument/2006/relationships/image" Target="../media/image9.jpeg"/></Relationships>
</file>

<file path=xl/charts/_rels/chart74.xml.rels><?xml version="1.0" encoding="UTF-8" standalone="yes"?>
<Relationships xmlns="http://schemas.openxmlformats.org/package/2006/relationships"><Relationship Id="rId1" Type="http://schemas.openxmlformats.org/officeDocument/2006/relationships/image" Target="../media/image9.jpeg"/></Relationships>
</file>

<file path=xl/charts/_rels/chart75.xml.rels><?xml version="1.0" encoding="UTF-8" standalone="yes"?>
<Relationships xmlns="http://schemas.openxmlformats.org/package/2006/relationships"><Relationship Id="rId1" Type="http://schemas.openxmlformats.org/officeDocument/2006/relationships/image" Target="../media/image9.jpeg"/></Relationships>
</file>

<file path=xl/charts/_rels/chart76.xml.rels><?xml version="1.0" encoding="UTF-8" standalone="yes"?>
<Relationships xmlns="http://schemas.openxmlformats.org/package/2006/relationships"><Relationship Id="rId1" Type="http://schemas.openxmlformats.org/officeDocument/2006/relationships/image" Target="../media/image9.jpeg"/></Relationships>
</file>

<file path=xl/charts/_rels/chart77.xml.rels><?xml version="1.0" encoding="UTF-8" standalone="yes"?>
<Relationships xmlns="http://schemas.openxmlformats.org/package/2006/relationships"><Relationship Id="rId1" Type="http://schemas.openxmlformats.org/officeDocument/2006/relationships/image" Target="../media/image9.jpeg"/></Relationships>
</file>

<file path=xl/charts/_rels/chart78.xml.rels><?xml version="1.0" encoding="UTF-8" standalone="yes"?>
<Relationships xmlns="http://schemas.openxmlformats.org/package/2006/relationships"><Relationship Id="rId1" Type="http://schemas.openxmlformats.org/officeDocument/2006/relationships/image" Target="../media/image9.jpeg"/></Relationships>
</file>

<file path=xl/charts/_rels/chart79.xml.rels><?xml version="1.0" encoding="UTF-8" standalone="yes"?>
<Relationships xmlns="http://schemas.openxmlformats.org/package/2006/relationships"><Relationship Id="rId1" Type="http://schemas.openxmlformats.org/officeDocument/2006/relationships/image" Target="../media/image9.jpeg"/></Relationships>
</file>

<file path=xl/charts/_rels/chart80.xml.rels><?xml version="1.0" encoding="UTF-8" standalone="yes"?>
<Relationships xmlns="http://schemas.openxmlformats.org/package/2006/relationships"><Relationship Id="rId1" Type="http://schemas.openxmlformats.org/officeDocument/2006/relationships/image" Target="../media/image9.jpeg"/></Relationships>
</file>

<file path=xl/charts/_rels/chart81.xml.rels><?xml version="1.0" encoding="UTF-8" standalone="yes"?>
<Relationships xmlns="http://schemas.openxmlformats.org/package/2006/relationships"><Relationship Id="rId1" Type="http://schemas.openxmlformats.org/officeDocument/2006/relationships/image" Target="../media/image9.jpeg"/></Relationships>
</file>

<file path=xl/charts/_rels/chart82.xml.rels><?xml version="1.0" encoding="UTF-8" standalone="yes"?>
<Relationships xmlns="http://schemas.openxmlformats.org/package/2006/relationships"><Relationship Id="rId1" Type="http://schemas.openxmlformats.org/officeDocument/2006/relationships/image" Target="../media/image9.jpeg"/></Relationships>
</file>

<file path=xl/charts/_rels/chart83.xml.rels><?xml version="1.0" encoding="UTF-8" standalone="yes"?>
<Relationships xmlns="http://schemas.openxmlformats.org/package/2006/relationships"><Relationship Id="rId1" Type="http://schemas.openxmlformats.org/officeDocument/2006/relationships/image" Target="../media/image9.jpeg"/></Relationships>
</file>

<file path=xl/charts/_rels/chart84.xml.rels><?xml version="1.0" encoding="UTF-8" standalone="yes"?>
<Relationships xmlns="http://schemas.openxmlformats.org/package/2006/relationships"><Relationship Id="rId1" Type="http://schemas.openxmlformats.org/officeDocument/2006/relationships/image" Target="../media/image9.jpeg"/></Relationships>
</file>

<file path=xl/charts/_rels/chart85.xml.rels><?xml version="1.0" encoding="UTF-8" standalone="yes"?>
<Relationships xmlns="http://schemas.openxmlformats.org/package/2006/relationships"><Relationship Id="rId1" Type="http://schemas.openxmlformats.org/officeDocument/2006/relationships/image" Target="../media/image9.jpeg"/></Relationships>
</file>

<file path=xl/charts/_rels/chart86.xml.rels><?xml version="1.0" encoding="UTF-8" standalone="yes"?>
<Relationships xmlns="http://schemas.openxmlformats.org/package/2006/relationships"><Relationship Id="rId1" Type="http://schemas.openxmlformats.org/officeDocument/2006/relationships/image" Target="../media/image9.jpeg"/></Relationships>
</file>

<file path=xl/charts/_rels/chart87.xml.rels><?xml version="1.0" encoding="UTF-8" standalone="yes"?>
<Relationships xmlns="http://schemas.openxmlformats.org/package/2006/relationships"><Relationship Id="rId1" Type="http://schemas.openxmlformats.org/officeDocument/2006/relationships/image" Target="../media/image9.jpeg"/></Relationships>
</file>

<file path=xl/charts/_rels/chart88.xml.rels><?xml version="1.0" encoding="UTF-8" standalone="yes"?>
<Relationships xmlns="http://schemas.openxmlformats.org/package/2006/relationships"><Relationship Id="rId1" Type="http://schemas.openxmlformats.org/officeDocument/2006/relationships/image" Target="../media/image9.jpeg"/></Relationships>
</file>

<file path=xl/charts/_rels/chart89.xml.rels><?xml version="1.0" encoding="UTF-8" standalone="yes"?>
<Relationships xmlns="http://schemas.openxmlformats.org/package/2006/relationships"><Relationship Id="rId1" Type="http://schemas.openxmlformats.org/officeDocument/2006/relationships/image" Target="../media/image9.jpeg"/></Relationships>
</file>

<file path=xl/charts/_rels/chart90.xml.rels><?xml version="1.0" encoding="UTF-8" standalone="yes"?>
<Relationships xmlns="http://schemas.openxmlformats.org/package/2006/relationships"><Relationship Id="rId1" Type="http://schemas.openxmlformats.org/officeDocument/2006/relationships/image" Target="../media/image9.jpeg"/></Relationships>
</file>

<file path=xl/charts/_rels/chart91.xml.rels><?xml version="1.0" encoding="UTF-8" standalone="yes"?>
<Relationships xmlns="http://schemas.openxmlformats.org/package/2006/relationships"><Relationship Id="rId1" Type="http://schemas.openxmlformats.org/officeDocument/2006/relationships/image" Target="../media/image9.jpeg"/></Relationships>
</file>

<file path=xl/charts/_rels/chart92.xml.rels><?xml version="1.0" encoding="UTF-8" standalone="yes"?>
<Relationships xmlns="http://schemas.openxmlformats.org/package/2006/relationships"><Relationship Id="rId1" Type="http://schemas.openxmlformats.org/officeDocument/2006/relationships/image" Target="../media/image9.jpeg"/></Relationships>
</file>

<file path=xl/charts/_rels/chart93.xml.rels><?xml version="1.0" encoding="UTF-8" standalone="yes"?>
<Relationships xmlns="http://schemas.openxmlformats.org/package/2006/relationships"><Relationship Id="rId1" Type="http://schemas.openxmlformats.org/officeDocument/2006/relationships/image" Target="../media/image9.jpeg"/></Relationships>
</file>

<file path=xl/charts/_rels/chart94.xml.rels><?xml version="1.0" encoding="UTF-8" standalone="yes"?>
<Relationships xmlns="http://schemas.openxmlformats.org/package/2006/relationships"><Relationship Id="rId1" Type="http://schemas.openxmlformats.org/officeDocument/2006/relationships/image" Target="../media/image9.jpeg"/></Relationships>
</file>

<file path=xl/charts/_rels/chart95.xml.rels><?xml version="1.0" encoding="UTF-8" standalone="yes"?>
<Relationships xmlns="http://schemas.openxmlformats.org/package/2006/relationships"><Relationship Id="rId1" Type="http://schemas.openxmlformats.org/officeDocument/2006/relationships/image" Target="../media/image9.jpeg"/></Relationships>
</file>

<file path=xl/charts/_rels/chart96.xml.rels><?xml version="1.0" encoding="UTF-8" standalone="yes"?>
<Relationships xmlns="http://schemas.openxmlformats.org/package/2006/relationships"><Relationship Id="rId1" Type="http://schemas.openxmlformats.org/officeDocument/2006/relationships/image" Target="../media/image9.jpeg"/></Relationships>
</file>

<file path=xl/charts/_rels/chart97.xml.rels><?xml version="1.0" encoding="UTF-8" standalone="yes"?>
<Relationships xmlns="http://schemas.openxmlformats.org/package/2006/relationships"><Relationship Id="rId1" Type="http://schemas.openxmlformats.org/officeDocument/2006/relationships/image" Target="../media/image9.jpeg"/></Relationships>
</file>

<file path=xl/charts/_rels/chart98.xml.rels><?xml version="1.0" encoding="UTF-8" standalone="yes"?>
<Relationships xmlns="http://schemas.openxmlformats.org/package/2006/relationships"><Relationship Id="rId1" Type="http://schemas.openxmlformats.org/officeDocument/2006/relationships/image" Target="../media/image9.jpeg"/></Relationships>
</file>

<file path=xl/charts/_rels/chart99.xml.rels><?xml version="1.0" encoding="UTF-8" standalone="yes"?>
<Relationships xmlns="http://schemas.openxmlformats.org/package/2006/relationships"><Relationship Id="rId1" Type="http://schemas.openxmlformats.org/officeDocument/2006/relationships/image" Target="../media/image9.jpeg"/></Relationships>
</file>

<file path=xl/charts/_rels/chart100.xml.rels><?xml version="1.0" encoding="UTF-8" standalone="yes"?>
<Relationships xmlns="http://schemas.openxmlformats.org/package/2006/relationships"><Relationship Id="rId1" Type="http://schemas.openxmlformats.org/officeDocument/2006/relationships/image" Target="../media/image9.jpeg"/></Relationships>
</file>

<file path=xl/charts/_rels/chart101.xml.rels><?xml version="1.0" encoding="UTF-8" standalone="yes"?>
<Relationships xmlns="http://schemas.openxmlformats.org/package/2006/relationships"><Relationship Id="rId1" Type="http://schemas.openxmlformats.org/officeDocument/2006/relationships/image" Target="../media/image9.jpeg"/></Relationships>
</file>

<file path=xl/charts/_rels/chart102.xml.rels><?xml version="1.0" encoding="UTF-8" standalone="yes"?>
<Relationships xmlns="http://schemas.openxmlformats.org/package/2006/relationships"><Relationship Id="rId1" Type="http://schemas.openxmlformats.org/officeDocument/2006/relationships/image" Target="../media/image10.jpeg"/></Relationships>
</file>

<file path=xl/charts/_rels/chart103.xml.rels><?xml version="1.0" encoding="UTF-8" standalone="yes"?>
<Relationships xmlns="http://schemas.openxmlformats.org/package/2006/relationships"><Relationship Id="rId1" Type="http://schemas.openxmlformats.org/officeDocument/2006/relationships/image" Target="../media/image10.jpeg"/></Relationships>
</file>

<file path=xl/charts/_rels/chart104.xml.rels><?xml version="1.0" encoding="UTF-8" standalone="yes"?>
<Relationships xmlns="http://schemas.openxmlformats.org/package/2006/relationships"><Relationship Id="rId1" Type="http://schemas.openxmlformats.org/officeDocument/2006/relationships/image" Target="../media/image10.jpeg"/></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6021815881208094E-2"/>
          <c:y val="8.2126136602873198E-2"/>
          <c:w val="0.89516452151382153"/>
          <c:h val="0.74396617863779269"/>
        </c:manualLayout>
      </c:layout>
      <c:barChart>
        <c:barDir val="col"/>
        <c:grouping val="clustered"/>
        <c:ser>
          <c:idx val="0"/>
          <c:order val="0"/>
          <c:spPr>
            <a:solidFill>
              <a:srgbClr val="CCFFCC"/>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0</c:v>
                </c:pt>
                <c:pt idx="1">
                  <c:v>3</c:v>
                </c:pt>
                <c:pt idx="2">
                  <c:v>3</c:v>
                </c:pt>
              </c:numCache>
            </c:numRef>
          </c:val>
        </c:ser>
        <c:gapWidth val="80"/>
        <c:axId val="83461632"/>
        <c:axId val="83463168"/>
      </c:barChart>
      <c:catAx>
        <c:axId val="83461632"/>
        <c:scaling>
          <c:orientation val="minMax"/>
        </c:scaling>
        <c:axPos val="b"/>
        <c:numFmt formatCode="General" sourceLinked="1"/>
        <c:majorTickMark val="none"/>
        <c:tickLblPos val="none"/>
        <c:spPr>
          <a:ln w="3175">
            <a:solidFill>
              <a:srgbClr val="000000"/>
            </a:solidFill>
            <a:prstDash val="solid"/>
          </a:ln>
        </c:spPr>
        <c:crossAx val="83463168"/>
        <c:crossesAt val="0"/>
        <c:auto val="1"/>
        <c:lblAlgn val="ctr"/>
        <c:lblOffset val="100"/>
        <c:tickMarkSkip val="1"/>
      </c:catAx>
      <c:valAx>
        <c:axId val="83463168"/>
        <c:scaling>
          <c:orientation val="minMax"/>
          <c:max val="5"/>
          <c:min val="1"/>
        </c:scaling>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461632"/>
        <c:crosses val="autoZero"/>
        <c:crossBetween val="between"/>
        <c:majorUnit val="2"/>
        <c:minorUnit val="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3770836265591569E-2"/>
          <c:y val="8.0568906826002568E-2"/>
          <c:w val="0.9098403139422957"/>
          <c:h val="0.73459885635473032"/>
        </c:manualLayout>
      </c:layout>
      <c:barChart>
        <c:barDir val="col"/>
        <c:grouping val="clustered"/>
        <c:ser>
          <c:idx val="0"/>
          <c:order val="0"/>
          <c:spPr>
            <a:solidFill>
              <a:srgbClr val="CCFFCC"/>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ser>
        <c:gapWidth val="80"/>
        <c:axId val="83181568"/>
        <c:axId val="83183104"/>
      </c:barChart>
      <c:catAx>
        <c:axId val="83181568"/>
        <c:scaling>
          <c:orientation val="minMax"/>
        </c:scaling>
        <c:axPos val="b"/>
        <c:numFmt formatCode="General" sourceLinked="1"/>
        <c:majorTickMark val="none"/>
        <c:tickLblPos val="none"/>
        <c:spPr>
          <a:ln w="3175">
            <a:solidFill>
              <a:srgbClr val="000000"/>
            </a:solidFill>
            <a:prstDash val="solid"/>
          </a:ln>
        </c:spPr>
        <c:crossAx val="83183104"/>
        <c:crossesAt val="0"/>
        <c:auto val="1"/>
        <c:lblAlgn val="ctr"/>
        <c:lblOffset val="100"/>
        <c:tickMarkSkip val="1"/>
      </c:catAx>
      <c:valAx>
        <c:axId val="83183104"/>
        <c:scaling>
          <c:orientation val="minMax"/>
          <c:max val="5"/>
          <c:min val="1"/>
        </c:scaling>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181568"/>
        <c:crosses val="autoZero"/>
        <c:crossBetween val="between"/>
        <c:majorUnit val="2"/>
        <c:minorUnit val="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5880884319827424E-2"/>
          <c:y val="8.5308254286355509E-2"/>
          <c:w val="0.90786058025507776"/>
          <c:h val="0.72985950889437679"/>
        </c:manualLayout>
      </c:layout>
      <c:barChart>
        <c:barDir val="col"/>
        <c:grouping val="clustered"/>
        <c:ser>
          <c:idx val="0"/>
          <c:order val="0"/>
          <c:spPr>
            <a:solidFill>
              <a:srgbClr val="CCFFCC"/>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4.8</c:v>
                </c:pt>
                <c:pt idx="1">
                  <c:v>3</c:v>
                </c:pt>
                <c:pt idx="2">
                  <c:v>3</c:v>
                </c:pt>
              </c:numCache>
            </c:numRef>
          </c:val>
        </c:ser>
        <c:gapWidth val="80"/>
        <c:axId val="83228928"/>
        <c:axId val="84041728"/>
      </c:barChart>
      <c:catAx>
        <c:axId val="83228928"/>
        <c:scaling>
          <c:orientation val="minMax"/>
        </c:scaling>
        <c:axPos val="b"/>
        <c:numFmt formatCode="General" sourceLinked="1"/>
        <c:majorTickMark val="none"/>
        <c:tickLblPos val="none"/>
        <c:spPr>
          <a:ln w="3175">
            <a:solidFill>
              <a:srgbClr val="000000"/>
            </a:solidFill>
            <a:prstDash val="solid"/>
          </a:ln>
        </c:spPr>
        <c:crossAx val="84041728"/>
        <c:crossesAt val="0"/>
        <c:auto val="1"/>
        <c:lblAlgn val="ctr"/>
        <c:lblOffset val="100"/>
        <c:tickMarkSkip val="1"/>
      </c:catAx>
      <c:valAx>
        <c:axId val="84041728"/>
        <c:scaling>
          <c:orientation val="minMax"/>
          <c:max val="5"/>
          <c:min val="1"/>
        </c:scaling>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228928"/>
        <c:crosses val="autoZero"/>
        <c:crossBetween val="between"/>
        <c:majorUnit val="2"/>
        <c:minorUnit val="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4086361120071557E-2"/>
          <c:y val="8.4158466699259304E-2"/>
          <c:w val="0.88709997627495862"/>
          <c:h val="0.77227769441673089"/>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ser>
        <c:gapWidth val="40"/>
        <c:axId val="84194048"/>
        <c:axId val="84195584"/>
      </c:barChart>
      <c:catAx>
        <c:axId val="84194048"/>
        <c:scaling>
          <c:orientation val="minMax"/>
        </c:scaling>
        <c:axPos val="b"/>
        <c:numFmt formatCode="General" sourceLinked="1"/>
        <c:majorTickMark val="none"/>
        <c:tickLblPos val="none"/>
        <c:spPr>
          <a:ln w="3175">
            <a:solidFill>
              <a:srgbClr val="000000"/>
            </a:solidFill>
            <a:prstDash val="solid"/>
          </a:ln>
        </c:spPr>
        <c:crossAx val="84195584"/>
        <c:crossesAt val="0"/>
        <c:auto val="1"/>
        <c:lblAlgn val="ctr"/>
        <c:lblOffset val="100"/>
        <c:tickMarkSkip val="1"/>
      </c:catAx>
      <c:valAx>
        <c:axId val="84195584"/>
        <c:scaling>
          <c:orientation val="minMax"/>
          <c:max val="5"/>
          <c:min val="1"/>
        </c:scaling>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94048"/>
        <c:crosses val="autoZero"/>
        <c:crossBetween val="between"/>
        <c:majorUnit val="2"/>
        <c:minorUnit val="1"/>
      </c:valAx>
      <c:spPr>
        <a:noFill/>
        <a:ln w="3175">
          <a:solidFill>
            <a:srgbClr val="000000"/>
          </a:solidFill>
          <a:prstDash val="solid"/>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5471921606278969E-2"/>
          <c:y val="7.8704326409555908E-2"/>
          <c:w val="0.90027220773204109"/>
          <c:h val="0.73148726898293048"/>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2</c:v>
                </c:pt>
                <c:pt idx="3">
                  <c:v>2</c:v>
                </c:pt>
              </c:numCache>
            </c:numRef>
          </c:val>
        </c:ser>
        <c:gapWidth val="40"/>
        <c:axId val="84118144"/>
        <c:axId val="84128128"/>
      </c:barChart>
      <c:catAx>
        <c:axId val="84118144"/>
        <c:scaling>
          <c:orientation val="minMax"/>
        </c:scaling>
        <c:axPos val="b"/>
        <c:numFmt formatCode="General" sourceLinked="1"/>
        <c:majorTickMark val="none"/>
        <c:tickLblPos val="none"/>
        <c:spPr>
          <a:ln w="3175">
            <a:solidFill>
              <a:srgbClr val="000000"/>
            </a:solidFill>
            <a:prstDash val="solid"/>
          </a:ln>
        </c:spPr>
        <c:crossAx val="84128128"/>
        <c:crossesAt val="0"/>
        <c:auto val="1"/>
        <c:lblAlgn val="ctr"/>
        <c:lblOffset val="100"/>
        <c:tickMarkSkip val="1"/>
      </c:catAx>
      <c:valAx>
        <c:axId val="84128128"/>
        <c:scaling>
          <c:orientation val="minMax"/>
          <c:max val="5"/>
          <c:min val="1"/>
        </c:scaling>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18144"/>
        <c:crosses val="autoZero"/>
        <c:crossBetween val="between"/>
        <c:majorUnit val="2"/>
        <c:minorUnit val="1"/>
      </c:valAx>
      <c:spPr>
        <a:noFill/>
        <a:ln w="3175">
          <a:solidFill>
            <a:srgbClr val="000000"/>
          </a:solidFill>
          <a:prstDash val="solid"/>
        </a:ln>
      </c:spPr>
    </c:plotArea>
    <c:dispBlanksAs val="gap"/>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3770836265591569E-2"/>
          <c:y val="8.0188956283706203E-2"/>
          <c:w val="0.9098403139422957"/>
          <c:h val="0.73585159883871643"/>
        </c:manualLayout>
      </c:layout>
      <c:barChart>
        <c:barDir val="col"/>
        <c:grouping val="clustered"/>
        <c:ser>
          <c:idx val="0"/>
          <c:order val="0"/>
          <c:spPr>
            <a:solidFill>
              <a:srgbClr val="FFFF99"/>
            </a:solidFill>
            <a:ln w="12700">
              <a:solidFill>
                <a:srgbClr val="000000"/>
              </a:solidFill>
              <a:prstDash val="solid"/>
            </a:ln>
          </c:spPr>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2.9</c:v>
                </c:pt>
                <c:pt idx="1">
                  <c:v>3</c:v>
                </c:pt>
                <c:pt idx="2">
                  <c:v>3</c:v>
                </c:pt>
              </c:numCache>
            </c:numRef>
          </c:val>
        </c:ser>
        <c:gapWidth val="80"/>
        <c:axId val="84251392"/>
        <c:axId val="84252928"/>
      </c:barChart>
      <c:catAx>
        <c:axId val="84251392"/>
        <c:scaling>
          <c:orientation val="minMax"/>
        </c:scaling>
        <c:axPos val="b"/>
        <c:numFmt formatCode="General" sourceLinked="1"/>
        <c:majorTickMark val="none"/>
        <c:tickLblPos val="none"/>
        <c:spPr>
          <a:ln w="3175">
            <a:solidFill>
              <a:srgbClr val="000000"/>
            </a:solidFill>
            <a:prstDash val="solid"/>
          </a:ln>
        </c:spPr>
        <c:crossAx val="84252928"/>
        <c:crossesAt val="0"/>
        <c:auto val="1"/>
        <c:lblAlgn val="ctr"/>
        <c:lblOffset val="100"/>
        <c:tickMarkSkip val="1"/>
      </c:catAx>
      <c:valAx>
        <c:axId val="84252928"/>
        <c:scaling>
          <c:orientation val="minMax"/>
          <c:max val="5"/>
          <c:min val="1"/>
        </c:scaling>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51392"/>
        <c:crosses val="autoZero"/>
        <c:crossBetween val="between"/>
        <c:majorUnit val="2"/>
        <c:minorUnit val="1"/>
      </c:valAx>
      <c:spPr>
        <a:noFill/>
        <a:ln w="3175">
          <a:solidFill>
            <a:srgbClr val="000000"/>
          </a:solidFill>
          <a:prstDash val="solid"/>
        </a:ln>
      </c:spPr>
    </c:plotArea>
    <c:dispBlanksAs val="gap"/>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512195121951192"/>
          <c:y val="9.7276264591439704E-2"/>
          <c:w val="0.70383275261324063"/>
          <c:h val="0.7042801556420234"/>
        </c:manualLayout>
      </c:layout>
      <c:areaChart>
        <c:grouping val="standard"/>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Red]\-#,##0">
                  <c:v>0</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Red]\-#,##0">
                  <c:v>0</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Red]\-#,##0">
                  <c:v>0</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Red]\-#,##0">
                  <c:v>0</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Red]\-#,##0">
                  <c:v>0</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axId val="84300160"/>
        <c:axId val="84301696"/>
      </c:areaChart>
      <c:scatterChart>
        <c:scatterStyle val="lineMarker"/>
        <c:ser>
          <c:idx val="7"/>
          <c:order val="0"/>
          <c:spPr>
            <a:ln w="25400">
              <a:solidFill>
                <a:srgbClr val="008000"/>
              </a:solidFill>
              <a:prstDash val="sysDash"/>
            </a:ln>
          </c:spPr>
          <c:marker>
            <c:symbol val="none"/>
          </c:marker>
          <c:dPt>
            <c:idx val="1"/>
            <c:spPr>
              <a:ln w="28575">
                <a:noFill/>
              </a:ln>
            </c:spPr>
          </c:dPt>
          <c:dLbls>
            <c:dLbl>
              <c:idx val="2"/>
              <c:layout>
                <c:manualLayout>
                  <c:x val="-4.9675036199420524E-3"/>
                  <c:y val="0.2873573633429786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CatName val="1"/>
              <c:extLst>
                <c:ext xmlns:c15="http://schemas.microsoft.com/office/drawing/2012/chart" uri="{CE6537A1-D6FC-4f65-9D91-7224C49458BB}"/>
              </c:extLst>
            </c:dLbl>
            <c:dLbl>
              <c:idx val="3"/>
              <c:layout>
                <c:manualLayout>
                  <c:x val="-7.3840383222824983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Val val="1"/>
              <c:extLst>
                <c:ext xmlns:c15="http://schemas.microsoft.com/office/drawing/2012/chart" uri="{CE6537A1-D6FC-4f65-9D91-7224C49458BB}"/>
              </c:extLst>
            </c:dLbl>
            <c:delete val="1"/>
            <c:spPr>
              <a:noFill/>
              <a:ln>
                <a:noFill/>
              </a:ln>
              <a:effectLst/>
            </c:spPr>
            <c:extLst>
              <c:ext xmlns:c15="http://schemas.microsoft.com/office/drawing/2012/chart" uri="{CE6537A1-D6FC-4f65-9D91-7224C49458BB}">
                <c15:showLeaderLines val="0"/>
              </c:ext>
            </c:extLst>
          </c:dLbls>
          <c:xVal>
            <c:numRef>
              <c:f>結果!$R$24:$U$24</c:f>
              <c:numCache>
                <c:formatCode>General</c:formatCode>
                <c:ptCount val="4"/>
                <c:pt idx="0">
                  <c:v>0</c:v>
                </c:pt>
                <c:pt idx="1">
                  <c:v>0</c:v>
                </c:pt>
                <c:pt idx="2" formatCode="#,##0;[Red]\-#,##0">
                  <c:v>0</c:v>
                </c:pt>
                <c:pt idx="3">
                  <c:v>0.1</c:v>
                </c:pt>
              </c:numCache>
            </c:numRef>
          </c:xVal>
          <c:yVal>
            <c:numRef>
              <c:f>結果!$R$25:$U$25</c:f>
              <c:numCache>
                <c:formatCode>General</c:formatCode>
                <c:ptCount val="4"/>
                <c:pt idx="0">
                  <c:v>0</c:v>
                </c:pt>
                <c:pt idx="1">
                  <c:v>0</c:v>
                </c:pt>
                <c:pt idx="2">
                  <c:v>47.125000000000007</c:v>
                </c:pt>
                <c:pt idx="3" formatCode="#,##0;[Red]\-#,##0">
                  <c:v>47.125000000000007</c:v>
                </c:pt>
              </c:numCache>
            </c:numRef>
          </c:yVal>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dPt>
          <c:dPt>
            <c:idx val="3"/>
            <c:marker>
              <c:symbol val="circle"/>
              <c:size val="6"/>
              <c:spPr>
                <a:solidFill>
                  <a:srgbClr val="008000"/>
                </a:solidFill>
                <a:ln>
                  <a:solidFill>
                    <a:srgbClr val="000000"/>
                  </a:solidFill>
                  <a:prstDash val="solid"/>
                </a:ln>
              </c:spPr>
            </c:marker>
          </c:dPt>
          <c:xVal>
            <c:numRef>
              <c:f>結果!$R$24:$U$24</c:f>
              <c:numCache>
                <c:formatCode>General</c:formatCode>
                <c:ptCount val="4"/>
                <c:pt idx="0">
                  <c:v>0</c:v>
                </c:pt>
                <c:pt idx="1">
                  <c:v>0</c:v>
                </c:pt>
                <c:pt idx="2" formatCode="#,##0;[Red]\-#,##0">
                  <c:v>0</c:v>
                </c:pt>
                <c:pt idx="3">
                  <c:v>0.1</c:v>
                </c:pt>
              </c:numCache>
            </c:numRef>
          </c:xVal>
          <c:yVal>
            <c:numRef>
              <c:f>結果!$R$25:$U$25</c:f>
              <c:numCache>
                <c:formatCode>General</c:formatCode>
                <c:ptCount val="4"/>
                <c:pt idx="0">
                  <c:v>0</c:v>
                </c:pt>
                <c:pt idx="1">
                  <c:v>0</c:v>
                </c:pt>
                <c:pt idx="2">
                  <c:v>47.125000000000007</c:v>
                </c:pt>
                <c:pt idx="3" formatCode="#,##0;[Red]\-#,##0">
                  <c:v>47.125000000000007</c:v>
                </c:pt>
              </c:numCache>
            </c:numRef>
          </c:yVal>
        </c:ser>
        <c:ser>
          <c:idx val="5"/>
          <c:order val="6"/>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dPt>
          <c:dPt>
            <c:idx val="1"/>
            <c:marker>
              <c:symbol val="triangle"/>
              <c:size val="20"/>
              <c:spPr>
                <a:solidFill>
                  <a:srgbClr val="339966"/>
                </a:solidFill>
                <a:ln>
                  <a:solidFill>
                    <a:srgbClr val="000000"/>
                  </a:solidFill>
                  <a:prstDash val="solid"/>
                </a:ln>
              </c:spPr>
            </c:marker>
            <c:spPr>
              <a:ln w="28575">
                <a:noFill/>
              </a:ln>
            </c:spPr>
          </c:dPt>
          <c:dPt>
            <c:idx val="2"/>
            <c:spPr>
              <a:ln w="38100">
                <a:solidFill>
                  <a:srgbClr val="008000"/>
                </a:solidFill>
                <a:prstDash val="solid"/>
              </a:ln>
            </c:spPr>
          </c:dPt>
          <c:xVal>
            <c:numRef>
              <c:f>結果!$S$22:$U$22</c:f>
              <c:numCache>
                <c:formatCode>#,##0;[Red]\-#,##0</c:formatCode>
                <c:ptCount val="3"/>
                <c:pt idx="1">
                  <c:v>0</c:v>
                </c:pt>
                <c:pt idx="2" formatCode="General">
                  <c:v>0</c:v>
                </c:pt>
              </c:numCache>
            </c:numRef>
          </c:xVal>
          <c:yVal>
            <c:numRef>
              <c:f>結果!$S$23:$U$23</c:f>
              <c:numCache>
                <c:formatCode>#,##0;[Red]\-#,##0</c:formatCode>
                <c:ptCount val="3"/>
                <c:pt idx="1">
                  <c:v>47.125000000000007</c:v>
                </c:pt>
                <c:pt idx="2" formatCode="General">
                  <c:v>0</c:v>
                </c:pt>
              </c:numCache>
            </c:numRef>
          </c:yVal>
        </c:ser>
        <c:axId val="84303232"/>
        <c:axId val="84305024"/>
      </c:scatterChart>
      <c:catAx>
        <c:axId val="84300160"/>
        <c:scaling>
          <c:orientation val="minMax"/>
        </c:scaling>
        <c:axPos val="b"/>
        <c:numFmt formatCode="#,##0;[Red]\-#,##0" sourceLinked="1"/>
        <c:majorTickMark val="none"/>
        <c:tickLblPos val="none"/>
        <c:spPr>
          <a:ln w="3175">
            <a:solidFill>
              <a:srgbClr val="000000"/>
            </a:solidFill>
            <a:prstDash val="solid"/>
          </a:ln>
        </c:spPr>
        <c:crossAx val="84301696"/>
        <c:crosses val="autoZero"/>
        <c:lblAlgn val="ctr"/>
        <c:lblOffset val="100"/>
        <c:tickLblSkip val="50"/>
        <c:tickMarkSkip val="50"/>
      </c:catAx>
      <c:valAx>
        <c:axId val="84301696"/>
        <c:scaling>
          <c:orientation val="minMax"/>
          <c:max val="100"/>
          <c:min val="0"/>
        </c:scaling>
        <c:axPos val="l"/>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00160"/>
        <c:crosses val="autoZero"/>
        <c:crossBetween val="midCat"/>
        <c:majorUnit val="50"/>
      </c:valAx>
      <c:valAx>
        <c:axId val="84303232"/>
        <c:scaling>
          <c:orientation val="minMax"/>
          <c:max val="100"/>
          <c:min val="0"/>
        </c:scaling>
        <c:axPos val="t"/>
        <c:numFmt formatCode="General" sourceLinked="1"/>
        <c:maj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305024"/>
        <c:crosses val="max"/>
        <c:crossBetween val="midCat"/>
        <c:majorUnit val="50"/>
      </c:valAx>
      <c:valAx>
        <c:axId val="84305024"/>
        <c:scaling>
          <c:orientation val="minMax"/>
          <c:max val="100"/>
        </c:scaling>
        <c:axPos val="r"/>
        <c:numFmt formatCode="General" sourceLinked="1"/>
        <c:majorTickMark val="in"/>
        <c:tickLblPos val="none"/>
        <c:spPr>
          <a:ln w="3175">
            <a:solidFill>
              <a:srgbClr val="000000"/>
            </a:solidFill>
            <a:prstDash val="solid"/>
          </a:ln>
        </c:spPr>
        <c:crossAx val="84303232"/>
        <c:crosses val="max"/>
        <c:crossBetween val="midCat"/>
        <c:majorUnit val="50"/>
      </c:valAx>
      <c:spPr>
        <a:solidFill>
          <a:srgbClr val="C0C0C0"/>
        </a:solidFill>
        <a:ln w="12700">
          <a:solidFill>
            <a:srgbClr val="808080"/>
          </a:solidFill>
          <a:prstDash val="solid"/>
        </a:ln>
      </c:spPr>
    </c:plotArea>
    <c:dispBlanksAs val="gap"/>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829266483032377E-2"/>
          <c:y val="7.7784224340378627E-2"/>
          <c:w val="0.93266299933909191"/>
          <c:h val="0.89156626506023928"/>
        </c:manualLayout>
      </c:layout>
      <c:barChart>
        <c:barDir val="bar"/>
        <c:grouping val="percentStacked"/>
        <c:ser>
          <c:idx val="0"/>
          <c:order val="0"/>
          <c:tx>
            <c:strRef>
              <c:f>結果!$S$15</c:f>
              <c:strCache>
                <c:ptCount val="1"/>
                <c:pt idx="0">
                  <c:v>#VALUE!</c:v>
                </c:pt>
              </c:strCache>
            </c:strRef>
          </c:tx>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tx>
            <c:strRef>
              <c:f>結果!$S$16</c:f>
              <c:strCache>
                <c:ptCount val="1"/>
                <c:pt idx="0">
                  <c:v>#VALUE!</c:v>
                </c:pt>
              </c:strCache>
            </c:strRef>
          </c:tx>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idx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dPt>
          <c:cat>
            <c:strRef>
              <c:f>結果!$R$15</c:f>
              <c:strCache>
                <c:ptCount val="1"/>
                <c:pt idx="0">
                  <c:v>Rank(red star)</c:v>
                </c:pt>
              </c:strCache>
            </c:strRef>
          </c:cat>
          <c:val>
            <c:numRef>
              <c:f>結果!$S$16</c:f>
              <c:numCache>
                <c:formatCode>#,##0.0;[Red]\-#,##0.0</c:formatCode>
                <c:ptCount val="1"/>
                <c:pt idx="0">
                  <c:v>0</c:v>
                </c:pt>
              </c:numCache>
            </c:numRef>
          </c:val>
        </c:ser>
        <c:gapWidth val="50"/>
        <c:overlap val="100"/>
        <c:axId val="84518784"/>
        <c:axId val="84520320"/>
      </c:barChart>
      <c:catAx>
        <c:axId val="84518784"/>
        <c:scaling>
          <c:orientation val="minMax"/>
        </c:scaling>
        <c:delete val="1"/>
        <c:axPos val="l"/>
        <c:numFmt formatCode="General" sourceLinked="1"/>
        <c:tickLblPos val="none"/>
        <c:crossAx val="84520320"/>
        <c:crosses val="autoZero"/>
        <c:auto val="1"/>
        <c:lblAlgn val="ctr"/>
        <c:lblOffset val="100"/>
      </c:catAx>
      <c:valAx>
        <c:axId val="84520320"/>
        <c:scaling>
          <c:orientation val="minMax"/>
          <c:max val="1"/>
        </c:scaling>
        <c:delete val="1"/>
        <c:axPos val="b"/>
        <c:numFmt formatCode="0%" sourceLinked="1"/>
        <c:tickLblPos val="none"/>
        <c:crossAx val="84518784"/>
        <c:crosses val="autoZero"/>
        <c:crossBetween val="between"/>
        <c:majorUnit val="0.2"/>
      </c:valAx>
      <c:spPr>
        <a:noFill/>
        <a:ln w="25400">
          <a:noFill/>
        </a:ln>
      </c:spPr>
    </c:plotArea>
    <c:dispBlanksAs val="gap"/>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193140826113336"/>
          <c:y val="0.17316950144475432"/>
          <c:w val="0.51726342334466846"/>
          <c:h val="0.63059837318561485"/>
        </c:manualLayout>
      </c:layout>
      <c:radarChart>
        <c:radarStyle val="filled"/>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2.9</c:v>
                </c:pt>
                <c:pt idx="1">
                  <c:v>2.6</c:v>
                </c:pt>
                <c:pt idx="2">
                  <c:v>0</c:v>
                </c:pt>
                <c:pt idx="3">
                  <c:v>3</c:v>
                </c:pt>
                <c:pt idx="4">
                  <c:v>4.3</c:v>
                </c:pt>
                <c:pt idx="5">
                  <c:v>3</c:v>
                </c:pt>
              </c:numCache>
            </c:numRef>
          </c:val>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ser>
        <c:axId val="84712832"/>
        <c:axId val="84722816"/>
      </c:radarChart>
      <c:catAx>
        <c:axId val="84712832"/>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84722816"/>
        <c:crosses val="autoZero"/>
        <c:lblAlgn val="ctr"/>
        <c:lblOffset val="100"/>
      </c:catAx>
      <c:valAx>
        <c:axId val="84722816"/>
        <c:scaling>
          <c:orientation val="minMax"/>
          <c:max val="5"/>
          <c:min val="1"/>
        </c:scaling>
        <c:axPos val="l"/>
        <c:majorGridlines>
          <c:spPr>
            <a:ln w="3175">
              <a:solidFill>
                <a:srgbClr val="000000"/>
              </a:solidFill>
              <a:prstDash val="solid"/>
            </a:ln>
          </c:spPr>
        </c:majorGridlines>
        <c:numFmt formatCode="#,##0_);[Red]\(#,##0\)" sourceLinked="0"/>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12832"/>
        <c:crosses val="autoZero"/>
        <c:crossBetween val="between"/>
        <c:majorUnit val="1"/>
      </c:valAx>
      <c:spPr>
        <a:noFill/>
        <a:ln w="25400">
          <a:noFill/>
        </a:ln>
      </c:spPr>
    </c:plotArea>
    <c:dispBlanksAs val="gap"/>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1.6891891891891893E-2"/>
          <c:y val="5.6818497084167974E-2"/>
          <c:w val="0.96283783783783783"/>
          <c:h val="0.8409137568456857"/>
        </c:manualLayout>
      </c:layout>
      <c:barChart>
        <c:barDir val="bar"/>
        <c:grouping val="percentStack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20"/>
          </c:pictureOptions>
          <c:dPt>
            <c:idx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gapWidth val="50"/>
        <c:overlap val="100"/>
        <c:axId val="84632320"/>
        <c:axId val="84633856"/>
      </c:barChart>
      <c:catAx>
        <c:axId val="84632320"/>
        <c:scaling>
          <c:orientation val="minMax"/>
        </c:scaling>
        <c:delete val="1"/>
        <c:axPos val="l"/>
        <c:numFmt formatCode="General" sourceLinked="1"/>
        <c:tickLblPos val="none"/>
        <c:crossAx val="84633856"/>
        <c:crosses val="autoZero"/>
        <c:auto val="1"/>
        <c:lblAlgn val="ctr"/>
        <c:lblOffset val="100"/>
      </c:catAx>
      <c:valAx>
        <c:axId val="84633856"/>
        <c:scaling>
          <c:orientation val="minMax"/>
        </c:scaling>
        <c:delete val="1"/>
        <c:axPos val="b"/>
        <c:numFmt formatCode="0%" sourceLinked="1"/>
        <c:tickLblPos val="none"/>
        <c:crossAx val="84632320"/>
        <c:crosses val="autoZero"/>
        <c:crossBetween val="between"/>
      </c:valAx>
      <c:spPr>
        <a:noFill/>
        <a:ln w="25400">
          <a:noFill/>
        </a:ln>
      </c:spPr>
    </c:plotArea>
    <c:dispBlanksAs val="gap"/>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9930189320280639E-2"/>
          <c:y val="0.15111127507733857"/>
          <c:w val="0.86713434757148034"/>
          <c:h val="0.64888959297915982"/>
        </c:manualLayout>
      </c:layout>
      <c:barChart>
        <c:barDir val="bar"/>
        <c:grouping val="stacked"/>
        <c:ser>
          <c:idx val="0"/>
          <c:order val="0"/>
          <c:tx>
            <c:strRef>
              <c:f>結果!$S$38</c:f>
              <c:strCache>
                <c:ptCount val="1"/>
                <c:pt idx="0">
                  <c:v>建設</c:v>
                </c:pt>
              </c:strCache>
            </c:strRef>
          </c:tx>
          <c:spPr>
            <a:solidFill>
              <a:srgbClr val="9999FF"/>
            </a:solidFill>
            <a:ln w="12700">
              <a:solidFill>
                <a:srgbClr val="000000"/>
              </a:solidFill>
              <a:prstDash val="solid"/>
            </a:ln>
          </c:spPr>
          <c:dPt>
            <c:idx val="0"/>
            <c:spPr>
              <a:solidFill>
                <a:srgbClr val="9999FF"/>
              </a:solidFill>
              <a:ln w="12700">
                <a:solidFill>
                  <a:srgbClr val="000000"/>
                </a:solidFill>
                <a:prstDash val="sysDash"/>
              </a:ln>
            </c:spPr>
          </c:dPt>
          <c:val>
            <c:numRef>
              <c:f>結果!$S$39:$S$42</c:f>
              <c:numCache>
                <c:formatCode>#,##0;[Red]\-#,##0</c:formatCode>
                <c:ptCount val="4"/>
                <c:pt idx="0">
                  <c:v>6.04</c:v>
                </c:pt>
                <c:pt idx="1">
                  <c:v>0</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dPt>
            <c:idx val="0"/>
            <c:spPr>
              <a:solidFill>
                <a:srgbClr val="99CC00"/>
              </a:solidFill>
              <a:ln w="12700">
                <a:solidFill>
                  <a:srgbClr val="000000"/>
                </a:solidFill>
                <a:prstDash val="sysDash"/>
              </a:ln>
            </c:spPr>
          </c:dPt>
          <c:val>
            <c:numRef>
              <c:f>結果!$T$39:$T$42</c:f>
              <c:numCache>
                <c:formatCode>#,##0;[Red]\-#,##0</c:formatCode>
                <c:ptCount val="4"/>
                <c:pt idx="0">
                  <c:v>2.35</c:v>
                </c:pt>
                <c:pt idx="1">
                  <c:v>0</c:v>
                </c:pt>
              </c:numCache>
            </c:numRef>
          </c:val>
        </c:ser>
        <c:ser>
          <c:idx val="2"/>
          <c:order val="2"/>
          <c:tx>
            <c:strRef>
              <c:f>結果!$U$38</c:f>
              <c:strCache>
                <c:ptCount val="1"/>
                <c:pt idx="0">
                  <c:v>居住</c:v>
                </c:pt>
              </c:strCache>
            </c:strRef>
          </c:tx>
          <c:spPr>
            <a:solidFill>
              <a:srgbClr val="FFFFCC"/>
            </a:solidFill>
            <a:ln w="12700">
              <a:solidFill>
                <a:srgbClr val="000000"/>
              </a:solidFill>
              <a:prstDash val="solid"/>
            </a:ln>
          </c:spPr>
          <c:dPt>
            <c:idx val="0"/>
            <c:spPr>
              <a:solidFill>
                <a:srgbClr val="FFFFCC"/>
              </a:solidFill>
              <a:ln w="12700">
                <a:solidFill>
                  <a:srgbClr val="000000"/>
                </a:solidFill>
                <a:prstDash val="sysDash"/>
              </a:ln>
            </c:spPr>
          </c:dPt>
          <c:val>
            <c:numRef>
              <c:f>結果!$U$39:$U$42</c:f>
              <c:numCache>
                <c:formatCode>#,##0;[Red]\-#,##0</c:formatCode>
                <c:ptCount val="4"/>
                <c:pt idx="0">
                  <c:v>0</c:v>
                </c:pt>
                <c:pt idx="1">
                  <c:v>0</c:v>
                </c:pt>
              </c:numCache>
            </c:numRef>
          </c:val>
        </c:ser>
        <c:ser>
          <c:idx val="3"/>
          <c:order val="3"/>
          <c:tx>
            <c:strRef>
              <c:f>結果!$V$38</c:f>
              <c:strCache>
                <c:ptCount val="1"/>
                <c:pt idx="0">
                  <c:v>オンサイト</c:v>
                </c:pt>
              </c:strCache>
            </c:strRef>
          </c:tx>
          <c:spPr>
            <a:solidFill>
              <a:srgbClr val="969696"/>
            </a:solidFill>
            <a:ln w="12700">
              <a:solidFill>
                <a:srgbClr val="000000"/>
              </a:solidFill>
              <a:prstDash val="solid"/>
            </a:ln>
          </c:spPr>
          <c:val>
            <c:numRef>
              <c:f>結果!$V$39:$V$42</c:f>
              <c:numCache>
                <c:formatCode>General</c:formatCode>
                <c:ptCount val="4"/>
                <c:pt idx="2" formatCode="#,##0;[Red]\-#,##0">
                  <c:v>0</c:v>
                </c:pt>
              </c:numCache>
            </c:numRef>
          </c:val>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val>
            <c:numRef>
              <c:f>結果!$W$39:$W$42</c:f>
              <c:numCache>
                <c:formatCode>General</c:formatCode>
                <c:ptCount val="4"/>
                <c:pt idx="3" formatCode="#,##0;[Red]\-#,##0">
                  <c:v>0</c:v>
                </c:pt>
              </c:numCache>
            </c:numRef>
          </c:val>
        </c:ser>
        <c:gapWidth val="50"/>
        <c:overlap val="100"/>
        <c:axId val="85894656"/>
        <c:axId val="85896192"/>
      </c:barChart>
      <c:catAx>
        <c:axId val="85894656"/>
        <c:scaling>
          <c:orientation val="maxMin"/>
        </c:scaling>
        <c:delete val="1"/>
        <c:axPos val="l"/>
        <c:tickLblPos val="none"/>
        <c:crossAx val="85896192"/>
        <c:crosses val="autoZero"/>
        <c:auto val="1"/>
        <c:lblAlgn val="ctr"/>
        <c:lblOffset val="100"/>
      </c:catAx>
      <c:valAx>
        <c:axId val="85896192"/>
        <c:scaling>
          <c:orientation val="minMax"/>
        </c:scaling>
        <c:axPos val="b"/>
        <c:majorGridlines>
          <c:spPr>
            <a:ln w="3175">
              <a:solidFill>
                <a:srgbClr val="000000"/>
              </a:solidFill>
              <a:prstDash val="solid"/>
            </a:ln>
          </c:spPr>
        </c:majorGridlines>
        <c:numFmt formatCode="#,##0" sourceLinked="0"/>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894656"/>
        <c:crosses val="max"/>
        <c:crossBetween val="between"/>
        <c:majorUnit val="20"/>
      </c:valAx>
      <c:spPr>
        <a:noFill/>
        <a:ln w="3175">
          <a:solidFill>
            <a:srgbClr val="000000"/>
          </a:solidFill>
          <a:prstDash val="solid"/>
        </a:ln>
      </c:spPr>
    </c:plotArea>
    <c:legend>
      <c:legendPos val="r"/>
      <c:layout>
        <c:manualLayout>
          <c:xMode val="edge"/>
          <c:yMode val="edge"/>
          <c:x val="7.8538417991868753E-2"/>
          <c:y val="4.4477107028288131E-2"/>
          <c:w val="0.87570541917554556"/>
          <c:h val="0.11119218431029462"/>
        </c:manualLayout>
      </c:layout>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dispBlanksAs val="gap"/>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95123712"/>
        <c:axId val="95125504"/>
      </c:barChart>
      <c:catAx>
        <c:axId val="95123712"/>
        <c:scaling>
          <c:orientation val="minMax"/>
        </c:scaling>
        <c:delete val="1"/>
        <c:axPos val="l"/>
        <c:tickLblPos val="none"/>
        <c:crossAx val="95125504"/>
        <c:crossesAt val="0"/>
        <c:auto val="1"/>
        <c:lblAlgn val="ctr"/>
        <c:lblOffset val="100"/>
      </c:catAx>
      <c:valAx>
        <c:axId val="95125504"/>
        <c:scaling>
          <c:orientation val="minMax"/>
          <c:max val="5"/>
          <c:min val="0"/>
        </c:scaling>
        <c:delete val="1"/>
        <c:axPos val="b"/>
        <c:majorGridlines>
          <c:spPr>
            <a:ln w="3175">
              <a:solidFill>
                <a:srgbClr val="FFFFFF"/>
              </a:solidFill>
              <a:prstDash val="solid"/>
            </a:ln>
          </c:spPr>
        </c:majorGridlines>
        <c:numFmt formatCode="General" sourceLinked="1"/>
        <c:tickLblPos val="none"/>
        <c:crossAx val="9512371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95136384"/>
        <c:axId val="95150464"/>
      </c:barChart>
      <c:catAx>
        <c:axId val="95136384"/>
        <c:scaling>
          <c:orientation val="minMax"/>
        </c:scaling>
        <c:delete val="1"/>
        <c:axPos val="l"/>
        <c:tickLblPos val="none"/>
        <c:crossAx val="95150464"/>
        <c:crossesAt val="0"/>
        <c:auto val="1"/>
        <c:lblAlgn val="ctr"/>
        <c:lblOffset val="100"/>
      </c:catAx>
      <c:valAx>
        <c:axId val="95150464"/>
        <c:scaling>
          <c:orientation val="minMax"/>
          <c:max val="5"/>
          <c:min val="0"/>
        </c:scaling>
        <c:delete val="1"/>
        <c:axPos val="b"/>
        <c:majorGridlines>
          <c:spPr>
            <a:ln w="3175">
              <a:solidFill>
                <a:srgbClr val="FFFFFF"/>
              </a:solidFill>
              <a:prstDash val="solid"/>
            </a:ln>
          </c:spPr>
        </c:majorGridlines>
        <c:numFmt formatCode="General" sourceLinked="1"/>
        <c:tickLblPos val="none"/>
        <c:crossAx val="9513638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95042560"/>
        <c:axId val="95048448"/>
      </c:barChart>
      <c:catAx>
        <c:axId val="95042560"/>
        <c:scaling>
          <c:orientation val="minMax"/>
        </c:scaling>
        <c:delete val="1"/>
        <c:axPos val="l"/>
        <c:tickLblPos val="none"/>
        <c:crossAx val="95048448"/>
        <c:crossesAt val="0"/>
        <c:auto val="1"/>
        <c:lblAlgn val="ctr"/>
        <c:lblOffset val="100"/>
      </c:catAx>
      <c:valAx>
        <c:axId val="95048448"/>
        <c:scaling>
          <c:orientation val="minMax"/>
          <c:max val="5"/>
          <c:min val="0"/>
        </c:scaling>
        <c:delete val="1"/>
        <c:axPos val="b"/>
        <c:majorGridlines>
          <c:spPr>
            <a:ln w="3175">
              <a:solidFill>
                <a:srgbClr val="FFFFFF"/>
              </a:solidFill>
              <a:prstDash val="solid"/>
            </a:ln>
          </c:spPr>
        </c:majorGridlines>
        <c:numFmt formatCode="General" sourceLinked="1"/>
        <c:tickLblPos val="none"/>
        <c:crossAx val="9504256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95055232"/>
        <c:axId val="95065216"/>
      </c:barChart>
      <c:catAx>
        <c:axId val="95055232"/>
        <c:scaling>
          <c:orientation val="minMax"/>
        </c:scaling>
        <c:delete val="1"/>
        <c:axPos val="l"/>
        <c:tickLblPos val="none"/>
        <c:crossAx val="95065216"/>
        <c:crossesAt val="0"/>
        <c:auto val="1"/>
        <c:lblAlgn val="ctr"/>
        <c:lblOffset val="100"/>
      </c:catAx>
      <c:valAx>
        <c:axId val="95065216"/>
        <c:scaling>
          <c:orientation val="minMax"/>
          <c:max val="5"/>
          <c:min val="0"/>
        </c:scaling>
        <c:delete val="1"/>
        <c:axPos val="b"/>
        <c:majorGridlines>
          <c:spPr>
            <a:ln w="3175">
              <a:solidFill>
                <a:srgbClr val="FFFFFF"/>
              </a:solidFill>
              <a:prstDash val="solid"/>
            </a:ln>
          </c:spPr>
        </c:majorGridlines>
        <c:numFmt formatCode="General" sourceLinked="1"/>
        <c:tickLblPos val="none"/>
        <c:crossAx val="9505523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95080448"/>
        <c:axId val="95081984"/>
      </c:barChart>
      <c:catAx>
        <c:axId val="95080448"/>
        <c:scaling>
          <c:orientation val="minMax"/>
        </c:scaling>
        <c:delete val="1"/>
        <c:axPos val="l"/>
        <c:tickLblPos val="none"/>
        <c:crossAx val="95081984"/>
        <c:crossesAt val="0"/>
        <c:auto val="1"/>
        <c:lblAlgn val="ctr"/>
        <c:lblOffset val="100"/>
      </c:catAx>
      <c:valAx>
        <c:axId val="95081984"/>
        <c:scaling>
          <c:orientation val="minMax"/>
          <c:max val="5"/>
          <c:min val="0"/>
        </c:scaling>
        <c:delete val="1"/>
        <c:axPos val="b"/>
        <c:majorGridlines>
          <c:spPr>
            <a:ln w="3175">
              <a:solidFill>
                <a:srgbClr val="FFFFFF"/>
              </a:solidFill>
              <a:prstDash val="solid"/>
            </a:ln>
          </c:spPr>
        </c:majorGridlines>
        <c:numFmt formatCode="General" sourceLinked="1"/>
        <c:tickLblPos val="none"/>
        <c:crossAx val="950804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95170944"/>
        <c:axId val="95172480"/>
      </c:barChart>
      <c:catAx>
        <c:axId val="95170944"/>
        <c:scaling>
          <c:orientation val="minMax"/>
        </c:scaling>
        <c:delete val="1"/>
        <c:axPos val="l"/>
        <c:tickLblPos val="none"/>
        <c:crossAx val="95172480"/>
        <c:crossesAt val="0"/>
        <c:auto val="1"/>
        <c:lblAlgn val="ctr"/>
        <c:lblOffset val="100"/>
      </c:catAx>
      <c:valAx>
        <c:axId val="95172480"/>
        <c:scaling>
          <c:orientation val="minMax"/>
          <c:max val="5"/>
          <c:min val="0"/>
        </c:scaling>
        <c:delete val="1"/>
        <c:axPos val="b"/>
        <c:majorGridlines>
          <c:spPr>
            <a:ln w="3175">
              <a:solidFill>
                <a:srgbClr val="FFFFFF"/>
              </a:solidFill>
              <a:prstDash val="solid"/>
            </a:ln>
          </c:spPr>
        </c:majorGridlines>
        <c:numFmt formatCode="General" sourceLinked="1"/>
        <c:tickLblPos val="none"/>
        <c:crossAx val="951709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95200000"/>
        <c:axId val="95201536"/>
      </c:barChart>
      <c:catAx>
        <c:axId val="95200000"/>
        <c:scaling>
          <c:orientation val="minMax"/>
        </c:scaling>
        <c:delete val="1"/>
        <c:axPos val="l"/>
        <c:tickLblPos val="none"/>
        <c:crossAx val="95201536"/>
        <c:crossesAt val="0"/>
        <c:auto val="1"/>
        <c:lblAlgn val="ctr"/>
        <c:lblOffset val="100"/>
      </c:catAx>
      <c:valAx>
        <c:axId val="95201536"/>
        <c:scaling>
          <c:orientation val="minMax"/>
          <c:max val="5"/>
          <c:min val="0"/>
        </c:scaling>
        <c:delete val="1"/>
        <c:axPos val="b"/>
        <c:majorGridlines>
          <c:spPr>
            <a:ln w="3175">
              <a:solidFill>
                <a:srgbClr val="FFFFFF"/>
              </a:solidFill>
              <a:prstDash val="solid"/>
            </a:ln>
          </c:spPr>
        </c:majorGridlines>
        <c:numFmt formatCode="General" sourceLinked="1"/>
        <c:tickLblPos val="none"/>
        <c:crossAx val="9520000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08270720"/>
        <c:axId val="108272256"/>
      </c:barChart>
      <c:catAx>
        <c:axId val="108270720"/>
        <c:scaling>
          <c:orientation val="minMax"/>
        </c:scaling>
        <c:delete val="1"/>
        <c:axPos val="l"/>
        <c:tickLblPos val="none"/>
        <c:crossAx val="108272256"/>
        <c:crossesAt val="0"/>
        <c:auto val="1"/>
        <c:lblAlgn val="ctr"/>
        <c:lblOffset val="100"/>
      </c:catAx>
      <c:valAx>
        <c:axId val="10827225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27072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08316160"/>
        <c:axId val="108317696"/>
      </c:barChart>
      <c:catAx>
        <c:axId val="108316160"/>
        <c:scaling>
          <c:orientation val="minMax"/>
        </c:scaling>
        <c:delete val="1"/>
        <c:axPos val="l"/>
        <c:tickLblPos val="none"/>
        <c:crossAx val="108317696"/>
        <c:crossesAt val="0"/>
        <c:auto val="1"/>
        <c:lblAlgn val="ctr"/>
        <c:lblOffset val="100"/>
      </c:catAx>
      <c:valAx>
        <c:axId val="10831769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31616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08332928"/>
        <c:axId val="108334464"/>
      </c:barChart>
      <c:catAx>
        <c:axId val="108332928"/>
        <c:scaling>
          <c:orientation val="minMax"/>
        </c:scaling>
        <c:delete val="1"/>
        <c:axPos val="l"/>
        <c:tickLblPos val="none"/>
        <c:crossAx val="108334464"/>
        <c:crossesAt val="0"/>
        <c:auto val="1"/>
        <c:lblAlgn val="ctr"/>
        <c:lblOffset val="100"/>
      </c:catAx>
      <c:valAx>
        <c:axId val="108334464"/>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3329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08366080"/>
        <c:axId val="108371968"/>
      </c:barChart>
      <c:catAx>
        <c:axId val="108366080"/>
        <c:scaling>
          <c:orientation val="minMax"/>
        </c:scaling>
        <c:delete val="1"/>
        <c:axPos val="l"/>
        <c:tickLblPos val="none"/>
        <c:crossAx val="108371968"/>
        <c:crossesAt val="0"/>
        <c:auto val="1"/>
        <c:lblAlgn val="ctr"/>
        <c:lblOffset val="100"/>
      </c:catAx>
      <c:valAx>
        <c:axId val="108371968"/>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3660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08382848"/>
        <c:axId val="108392832"/>
      </c:barChart>
      <c:catAx>
        <c:axId val="108382848"/>
        <c:scaling>
          <c:orientation val="minMax"/>
        </c:scaling>
        <c:delete val="1"/>
        <c:axPos val="l"/>
        <c:tickLblPos val="none"/>
        <c:crossAx val="108392832"/>
        <c:crossesAt val="0"/>
        <c:auto val="1"/>
        <c:lblAlgn val="ctr"/>
        <c:lblOffset val="100"/>
      </c:catAx>
      <c:valAx>
        <c:axId val="108392832"/>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3828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08407808"/>
        <c:axId val="108417792"/>
      </c:barChart>
      <c:catAx>
        <c:axId val="108407808"/>
        <c:scaling>
          <c:orientation val="minMax"/>
        </c:scaling>
        <c:delete val="1"/>
        <c:axPos val="l"/>
        <c:tickLblPos val="none"/>
        <c:crossAx val="108417792"/>
        <c:crossesAt val="0"/>
        <c:auto val="1"/>
        <c:lblAlgn val="ctr"/>
        <c:lblOffset val="100"/>
      </c:catAx>
      <c:valAx>
        <c:axId val="108417792"/>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4078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08428672"/>
        <c:axId val="108450944"/>
      </c:barChart>
      <c:catAx>
        <c:axId val="108428672"/>
        <c:scaling>
          <c:orientation val="minMax"/>
        </c:scaling>
        <c:delete val="1"/>
        <c:axPos val="l"/>
        <c:tickLblPos val="none"/>
        <c:crossAx val="108450944"/>
        <c:crossesAt val="0"/>
        <c:auto val="1"/>
        <c:lblAlgn val="ctr"/>
        <c:lblOffset val="100"/>
      </c:catAx>
      <c:valAx>
        <c:axId val="108450944"/>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42867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08544000"/>
        <c:axId val="108545536"/>
      </c:barChart>
      <c:catAx>
        <c:axId val="108544000"/>
        <c:scaling>
          <c:orientation val="minMax"/>
        </c:scaling>
        <c:delete val="1"/>
        <c:axPos val="l"/>
        <c:tickLblPos val="none"/>
        <c:crossAx val="108545536"/>
        <c:crossesAt val="0"/>
        <c:auto val="1"/>
        <c:lblAlgn val="ctr"/>
        <c:lblOffset val="100"/>
      </c:catAx>
      <c:valAx>
        <c:axId val="10854553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54400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08585344"/>
        <c:axId val="108586880"/>
      </c:barChart>
      <c:catAx>
        <c:axId val="108585344"/>
        <c:scaling>
          <c:orientation val="minMax"/>
        </c:scaling>
        <c:delete val="1"/>
        <c:axPos val="l"/>
        <c:tickLblPos val="none"/>
        <c:crossAx val="108586880"/>
        <c:crossesAt val="0"/>
        <c:auto val="1"/>
        <c:lblAlgn val="ctr"/>
        <c:lblOffset val="100"/>
      </c:catAx>
      <c:valAx>
        <c:axId val="108586880"/>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5853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08471040"/>
        <c:axId val="108472576"/>
      </c:barChart>
      <c:catAx>
        <c:axId val="108471040"/>
        <c:scaling>
          <c:orientation val="minMax"/>
        </c:scaling>
        <c:delete val="1"/>
        <c:axPos val="l"/>
        <c:tickLblPos val="none"/>
        <c:crossAx val="108472576"/>
        <c:crossesAt val="0"/>
        <c:auto val="1"/>
        <c:lblAlgn val="ctr"/>
        <c:lblOffset val="100"/>
      </c:catAx>
      <c:valAx>
        <c:axId val="10847257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47104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08496000"/>
        <c:axId val="108497536"/>
      </c:barChart>
      <c:catAx>
        <c:axId val="108496000"/>
        <c:scaling>
          <c:orientation val="minMax"/>
        </c:scaling>
        <c:delete val="1"/>
        <c:axPos val="l"/>
        <c:tickLblPos val="none"/>
        <c:crossAx val="108497536"/>
        <c:crossesAt val="0"/>
        <c:auto val="1"/>
        <c:lblAlgn val="ctr"/>
        <c:lblOffset val="100"/>
      </c:catAx>
      <c:valAx>
        <c:axId val="10849753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49600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08664320"/>
        <c:axId val="108665856"/>
      </c:barChart>
      <c:catAx>
        <c:axId val="108664320"/>
        <c:scaling>
          <c:orientation val="minMax"/>
        </c:scaling>
        <c:delete val="1"/>
        <c:axPos val="l"/>
        <c:tickLblPos val="none"/>
        <c:crossAx val="108665856"/>
        <c:crossesAt val="0"/>
        <c:auto val="1"/>
        <c:lblAlgn val="ctr"/>
        <c:lblOffset val="100"/>
      </c:catAx>
      <c:valAx>
        <c:axId val="10866585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66432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08693376"/>
        <c:axId val="108694912"/>
      </c:barChart>
      <c:catAx>
        <c:axId val="108693376"/>
        <c:scaling>
          <c:orientation val="minMax"/>
        </c:scaling>
        <c:delete val="1"/>
        <c:axPos val="l"/>
        <c:tickLblPos val="none"/>
        <c:crossAx val="108694912"/>
        <c:crossesAt val="0"/>
        <c:auto val="1"/>
        <c:lblAlgn val="ctr"/>
        <c:lblOffset val="100"/>
      </c:catAx>
      <c:valAx>
        <c:axId val="108694912"/>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6933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08714240"/>
        <c:axId val="108728320"/>
      </c:barChart>
      <c:catAx>
        <c:axId val="108714240"/>
        <c:scaling>
          <c:orientation val="minMax"/>
        </c:scaling>
        <c:delete val="1"/>
        <c:axPos val="l"/>
        <c:tickLblPos val="none"/>
        <c:crossAx val="108728320"/>
        <c:crossesAt val="0"/>
        <c:auto val="1"/>
        <c:lblAlgn val="ctr"/>
        <c:lblOffset val="100"/>
      </c:catAx>
      <c:valAx>
        <c:axId val="108728320"/>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71424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08751488"/>
        <c:axId val="108757376"/>
      </c:barChart>
      <c:catAx>
        <c:axId val="108751488"/>
        <c:scaling>
          <c:orientation val="minMax"/>
        </c:scaling>
        <c:delete val="1"/>
        <c:axPos val="l"/>
        <c:tickLblPos val="none"/>
        <c:crossAx val="108757376"/>
        <c:crossesAt val="0"/>
        <c:auto val="1"/>
        <c:lblAlgn val="ctr"/>
        <c:lblOffset val="100"/>
      </c:catAx>
      <c:valAx>
        <c:axId val="10875737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75148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08764160"/>
        <c:axId val="108782336"/>
      </c:barChart>
      <c:catAx>
        <c:axId val="108764160"/>
        <c:scaling>
          <c:orientation val="minMax"/>
        </c:scaling>
        <c:delete val="1"/>
        <c:axPos val="l"/>
        <c:tickLblPos val="none"/>
        <c:crossAx val="108782336"/>
        <c:crossesAt val="0"/>
        <c:auto val="1"/>
        <c:lblAlgn val="ctr"/>
        <c:lblOffset val="100"/>
      </c:catAx>
      <c:valAx>
        <c:axId val="108782336"/>
        <c:scaling>
          <c:orientation val="minMax"/>
          <c:max val="5"/>
          <c:min val="0"/>
        </c:scaling>
        <c:delete val="1"/>
        <c:axPos val="b"/>
        <c:majorGridlines>
          <c:spPr>
            <a:ln w="3175">
              <a:solidFill>
                <a:srgbClr val="FFFFFF"/>
              </a:solidFill>
              <a:prstDash val="solid"/>
            </a:ln>
          </c:spPr>
        </c:majorGridlines>
        <c:numFmt formatCode="General" sourceLinked="1"/>
        <c:tickLblPos val="none"/>
        <c:crossAx val="10876416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0050688"/>
        <c:axId val="110056576"/>
      </c:barChart>
      <c:catAx>
        <c:axId val="110050688"/>
        <c:scaling>
          <c:orientation val="minMax"/>
        </c:scaling>
        <c:delete val="1"/>
        <c:axPos val="l"/>
        <c:tickLblPos val="none"/>
        <c:crossAx val="110056576"/>
        <c:crossesAt val="0"/>
        <c:auto val="1"/>
        <c:lblAlgn val="ctr"/>
        <c:lblOffset val="100"/>
      </c:catAx>
      <c:valAx>
        <c:axId val="11005657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05068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0075904"/>
        <c:axId val="110077440"/>
      </c:barChart>
      <c:catAx>
        <c:axId val="110075904"/>
        <c:scaling>
          <c:orientation val="minMax"/>
        </c:scaling>
        <c:delete val="1"/>
        <c:axPos val="l"/>
        <c:tickLblPos val="none"/>
        <c:crossAx val="110077440"/>
        <c:crossesAt val="0"/>
        <c:auto val="1"/>
        <c:lblAlgn val="ctr"/>
        <c:lblOffset val="100"/>
      </c:catAx>
      <c:valAx>
        <c:axId val="11007744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07590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0240512"/>
        <c:axId val="110242048"/>
      </c:barChart>
      <c:catAx>
        <c:axId val="110240512"/>
        <c:scaling>
          <c:orientation val="minMax"/>
        </c:scaling>
        <c:delete val="1"/>
        <c:axPos val="l"/>
        <c:tickLblPos val="none"/>
        <c:crossAx val="110242048"/>
        <c:crossesAt val="0"/>
        <c:auto val="1"/>
        <c:lblAlgn val="ctr"/>
        <c:lblOffset val="100"/>
      </c:catAx>
      <c:valAx>
        <c:axId val="11024204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24051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0273664"/>
        <c:axId val="110275200"/>
      </c:barChart>
      <c:catAx>
        <c:axId val="110273664"/>
        <c:scaling>
          <c:orientation val="minMax"/>
        </c:scaling>
        <c:delete val="1"/>
        <c:axPos val="l"/>
        <c:tickLblPos val="none"/>
        <c:crossAx val="110275200"/>
        <c:crossesAt val="0"/>
        <c:auto val="1"/>
        <c:lblAlgn val="ctr"/>
        <c:lblOffset val="100"/>
      </c:catAx>
      <c:valAx>
        <c:axId val="11027520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27366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0306816"/>
        <c:axId val="110308352"/>
      </c:barChart>
      <c:catAx>
        <c:axId val="110306816"/>
        <c:scaling>
          <c:orientation val="minMax"/>
        </c:scaling>
        <c:delete val="1"/>
        <c:axPos val="l"/>
        <c:tickLblPos val="none"/>
        <c:crossAx val="110308352"/>
        <c:crossesAt val="0"/>
        <c:auto val="1"/>
        <c:lblAlgn val="ctr"/>
        <c:lblOffset val="100"/>
      </c:catAx>
      <c:valAx>
        <c:axId val="11030835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30681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0327680"/>
        <c:axId val="110329216"/>
      </c:barChart>
      <c:catAx>
        <c:axId val="110327680"/>
        <c:scaling>
          <c:orientation val="minMax"/>
        </c:scaling>
        <c:delete val="1"/>
        <c:axPos val="l"/>
        <c:tickLblPos val="none"/>
        <c:crossAx val="110329216"/>
        <c:crossesAt val="0"/>
        <c:auto val="1"/>
        <c:lblAlgn val="ctr"/>
        <c:lblOffset val="100"/>
      </c:catAx>
      <c:valAx>
        <c:axId val="11032921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3276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0356736"/>
        <c:axId val="110166016"/>
      </c:barChart>
      <c:catAx>
        <c:axId val="110356736"/>
        <c:scaling>
          <c:orientation val="minMax"/>
        </c:scaling>
        <c:delete val="1"/>
        <c:axPos val="l"/>
        <c:tickLblPos val="none"/>
        <c:crossAx val="110166016"/>
        <c:crossesAt val="0"/>
        <c:auto val="1"/>
        <c:lblAlgn val="ctr"/>
        <c:lblOffset val="100"/>
      </c:catAx>
      <c:valAx>
        <c:axId val="11016601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3567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172800"/>
        <c:axId val="110199168"/>
      </c:barChart>
      <c:catAx>
        <c:axId val="110172800"/>
        <c:scaling>
          <c:orientation val="minMax"/>
        </c:scaling>
        <c:delete val="1"/>
        <c:axPos val="l"/>
        <c:tickLblPos val="none"/>
        <c:crossAx val="110199168"/>
        <c:crossesAt val="0"/>
        <c:auto val="1"/>
        <c:lblAlgn val="ctr"/>
        <c:lblOffset val="100"/>
      </c:catAx>
      <c:valAx>
        <c:axId val="11019916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17280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230528"/>
        <c:axId val="110363392"/>
      </c:barChart>
      <c:catAx>
        <c:axId val="110230528"/>
        <c:scaling>
          <c:orientation val="minMax"/>
        </c:scaling>
        <c:delete val="1"/>
        <c:axPos val="l"/>
        <c:tickLblPos val="none"/>
        <c:crossAx val="110363392"/>
        <c:crossesAt val="0"/>
        <c:auto val="1"/>
        <c:lblAlgn val="ctr"/>
        <c:lblOffset val="100"/>
      </c:catAx>
      <c:valAx>
        <c:axId val="11036339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2305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369792"/>
        <c:axId val="110392064"/>
      </c:barChart>
      <c:catAx>
        <c:axId val="110369792"/>
        <c:scaling>
          <c:orientation val="minMax"/>
        </c:scaling>
        <c:delete val="1"/>
        <c:axPos val="l"/>
        <c:tickLblPos val="none"/>
        <c:crossAx val="110392064"/>
        <c:crossesAt val="0"/>
        <c:auto val="1"/>
        <c:lblAlgn val="ctr"/>
        <c:lblOffset val="100"/>
      </c:catAx>
      <c:valAx>
        <c:axId val="11039206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36979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411136"/>
        <c:axId val="110417024"/>
      </c:barChart>
      <c:catAx>
        <c:axId val="110411136"/>
        <c:scaling>
          <c:orientation val="minMax"/>
        </c:scaling>
        <c:delete val="1"/>
        <c:axPos val="l"/>
        <c:tickLblPos val="none"/>
        <c:crossAx val="110417024"/>
        <c:crossesAt val="0"/>
        <c:auto val="1"/>
        <c:lblAlgn val="ctr"/>
        <c:lblOffset val="100"/>
      </c:catAx>
      <c:valAx>
        <c:axId val="11041702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4111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514176"/>
        <c:axId val="110515712"/>
      </c:barChart>
      <c:catAx>
        <c:axId val="110514176"/>
        <c:scaling>
          <c:orientation val="minMax"/>
        </c:scaling>
        <c:delete val="1"/>
        <c:axPos val="l"/>
        <c:tickLblPos val="none"/>
        <c:crossAx val="110515712"/>
        <c:crossesAt val="0"/>
        <c:auto val="1"/>
        <c:lblAlgn val="ctr"/>
        <c:lblOffset val="100"/>
      </c:catAx>
      <c:valAx>
        <c:axId val="11051571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5141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0547328"/>
        <c:axId val="110548864"/>
      </c:barChart>
      <c:catAx>
        <c:axId val="110547328"/>
        <c:scaling>
          <c:orientation val="minMax"/>
        </c:scaling>
        <c:delete val="1"/>
        <c:axPos val="l"/>
        <c:tickLblPos val="none"/>
        <c:crossAx val="110548864"/>
        <c:crossesAt val="0"/>
        <c:auto val="1"/>
        <c:lblAlgn val="ctr"/>
        <c:lblOffset val="100"/>
      </c:catAx>
      <c:valAx>
        <c:axId val="11054886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5473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0445312"/>
        <c:axId val="110446848"/>
      </c:barChart>
      <c:catAx>
        <c:axId val="110445312"/>
        <c:scaling>
          <c:orientation val="minMax"/>
        </c:scaling>
        <c:delete val="1"/>
        <c:axPos val="l"/>
        <c:tickLblPos val="none"/>
        <c:crossAx val="110446848"/>
        <c:crossesAt val="0"/>
        <c:auto val="1"/>
        <c:lblAlgn val="ctr"/>
        <c:lblOffset val="100"/>
      </c:catAx>
      <c:valAx>
        <c:axId val="11044684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44531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0466176"/>
        <c:axId val="110467712"/>
      </c:barChart>
      <c:catAx>
        <c:axId val="110466176"/>
        <c:scaling>
          <c:orientation val="minMax"/>
        </c:scaling>
        <c:delete val="1"/>
        <c:axPos val="l"/>
        <c:tickLblPos val="none"/>
        <c:crossAx val="110467712"/>
        <c:crossesAt val="0"/>
        <c:auto val="1"/>
        <c:lblAlgn val="ctr"/>
        <c:lblOffset val="100"/>
      </c:catAx>
      <c:valAx>
        <c:axId val="11046771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4661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0568960"/>
        <c:axId val="110570496"/>
      </c:barChart>
      <c:catAx>
        <c:axId val="110568960"/>
        <c:scaling>
          <c:orientation val="minMax"/>
        </c:scaling>
        <c:delete val="1"/>
        <c:axPos val="l"/>
        <c:tickLblPos val="none"/>
        <c:crossAx val="110570496"/>
        <c:crossesAt val="0"/>
        <c:auto val="1"/>
        <c:lblAlgn val="ctr"/>
        <c:lblOffset val="100"/>
      </c:catAx>
      <c:valAx>
        <c:axId val="11057049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56896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0593920"/>
        <c:axId val="110595456"/>
      </c:barChart>
      <c:catAx>
        <c:axId val="110593920"/>
        <c:scaling>
          <c:orientation val="minMax"/>
        </c:scaling>
        <c:delete val="1"/>
        <c:axPos val="l"/>
        <c:tickLblPos val="none"/>
        <c:crossAx val="110595456"/>
        <c:crossesAt val="0"/>
        <c:auto val="1"/>
        <c:lblAlgn val="ctr"/>
        <c:lblOffset val="100"/>
      </c:catAx>
      <c:valAx>
        <c:axId val="11059545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59392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0696704"/>
        <c:axId val="110702592"/>
      </c:barChart>
      <c:catAx>
        <c:axId val="110696704"/>
        <c:scaling>
          <c:orientation val="minMax"/>
        </c:scaling>
        <c:delete val="1"/>
        <c:axPos val="l"/>
        <c:tickLblPos val="none"/>
        <c:crossAx val="110702592"/>
        <c:crossesAt val="0"/>
        <c:auto val="1"/>
        <c:lblAlgn val="ctr"/>
        <c:lblOffset val="100"/>
      </c:catAx>
      <c:valAx>
        <c:axId val="11070259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69670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0721664"/>
        <c:axId val="110723456"/>
      </c:barChart>
      <c:catAx>
        <c:axId val="110721664"/>
        <c:scaling>
          <c:orientation val="minMax"/>
        </c:scaling>
        <c:delete val="1"/>
        <c:axPos val="l"/>
        <c:tickLblPos val="none"/>
        <c:crossAx val="110723456"/>
        <c:crossesAt val="0"/>
        <c:auto val="1"/>
        <c:lblAlgn val="ctr"/>
        <c:lblOffset val="100"/>
      </c:catAx>
      <c:valAx>
        <c:axId val="11072345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72166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0627840"/>
        <c:axId val="110633728"/>
      </c:barChart>
      <c:catAx>
        <c:axId val="110627840"/>
        <c:scaling>
          <c:orientation val="minMax"/>
        </c:scaling>
        <c:delete val="1"/>
        <c:axPos val="l"/>
        <c:tickLblPos val="none"/>
        <c:crossAx val="110633728"/>
        <c:crossesAt val="0"/>
        <c:auto val="1"/>
        <c:lblAlgn val="ctr"/>
        <c:lblOffset val="100"/>
      </c:catAx>
      <c:valAx>
        <c:axId val="11063372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62784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0648704"/>
        <c:axId val="110662784"/>
      </c:barChart>
      <c:catAx>
        <c:axId val="110648704"/>
        <c:scaling>
          <c:orientation val="minMax"/>
        </c:scaling>
        <c:delete val="1"/>
        <c:axPos val="l"/>
        <c:tickLblPos val="none"/>
        <c:crossAx val="110662784"/>
        <c:crossesAt val="0"/>
        <c:auto val="1"/>
        <c:lblAlgn val="ctr"/>
        <c:lblOffset val="100"/>
      </c:catAx>
      <c:valAx>
        <c:axId val="11066278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64870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0755840"/>
        <c:axId val="110757376"/>
      </c:barChart>
      <c:catAx>
        <c:axId val="110755840"/>
        <c:scaling>
          <c:orientation val="minMax"/>
        </c:scaling>
        <c:delete val="1"/>
        <c:axPos val="l"/>
        <c:tickLblPos val="none"/>
        <c:crossAx val="110757376"/>
        <c:crossesAt val="0"/>
        <c:auto val="1"/>
        <c:lblAlgn val="ctr"/>
        <c:lblOffset val="100"/>
      </c:catAx>
      <c:valAx>
        <c:axId val="11075737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75584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784896"/>
        <c:axId val="110786432"/>
      </c:barChart>
      <c:catAx>
        <c:axId val="110784896"/>
        <c:scaling>
          <c:orientation val="minMax"/>
        </c:scaling>
        <c:delete val="1"/>
        <c:axPos val="l"/>
        <c:tickLblPos val="none"/>
        <c:crossAx val="110786432"/>
        <c:crossesAt val="0"/>
        <c:auto val="1"/>
        <c:lblAlgn val="ctr"/>
        <c:lblOffset val="100"/>
      </c:catAx>
      <c:valAx>
        <c:axId val="11078643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78489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961408"/>
        <c:axId val="110962944"/>
      </c:barChart>
      <c:catAx>
        <c:axId val="110961408"/>
        <c:scaling>
          <c:orientation val="minMax"/>
        </c:scaling>
        <c:delete val="1"/>
        <c:axPos val="l"/>
        <c:tickLblPos val="none"/>
        <c:crossAx val="110962944"/>
        <c:crossesAt val="0"/>
        <c:auto val="1"/>
        <c:lblAlgn val="ctr"/>
        <c:lblOffset val="100"/>
      </c:catAx>
      <c:valAx>
        <c:axId val="11096294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9614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0994560"/>
        <c:axId val="110996096"/>
      </c:barChart>
      <c:catAx>
        <c:axId val="110994560"/>
        <c:scaling>
          <c:orientation val="minMax"/>
        </c:scaling>
        <c:delete val="1"/>
        <c:axPos val="l"/>
        <c:tickLblPos val="none"/>
        <c:crossAx val="110996096"/>
        <c:crossesAt val="0"/>
        <c:auto val="1"/>
        <c:lblAlgn val="ctr"/>
        <c:lblOffset val="100"/>
      </c:catAx>
      <c:valAx>
        <c:axId val="11099609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099456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085056"/>
        <c:axId val="111086592"/>
      </c:barChart>
      <c:catAx>
        <c:axId val="111085056"/>
        <c:scaling>
          <c:orientation val="minMax"/>
        </c:scaling>
        <c:delete val="1"/>
        <c:axPos val="l"/>
        <c:tickLblPos val="none"/>
        <c:crossAx val="111086592"/>
        <c:crossesAt val="0"/>
        <c:auto val="1"/>
        <c:lblAlgn val="ctr"/>
        <c:lblOffset val="100"/>
      </c:catAx>
      <c:valAx>
        <c:axId val="11108659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08505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105920"/>
        <c:axId val="111107456"/>
      </c:barChart>
      <c:catAx>
        <c:axId val="111105920"/>
        <c:scaling>
          <c:orientation val="minMax"/>
        </c:scaling>
        <c:delete val="1"/>
        <c:axPos val="l"/>
        <c:tickLblPos val="none"/>
        <c:crossAx val="111107456"/>
        <c:crossesAt val="0"/>
        <c:auto val="1"/>
        <c:lblAlgn val="ctr"/>
        <c:lblOffset val="100"/>
      </c:catAx>
      <c:valAx>
        <c:axId val="11110745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10592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1155456"/>
        <c:axId val="111157248"/>
      </c:barChart>
      <c:catAx>
        <c:axId val="111155456"/>
        <c:scaling>
          <c:orientation val="minMax"/>
        </c:scaling>
        <c:delete val="1"/>
        <c:axPos val="l"/>
        <c:tickLblPos val="none"/>
        <c:crossAx val="111157248"/>
        <c:crossesAt val="0"/>
        <c:auto val="1"/>
        <c:lblAlgn val="ctr"/>
        <c:lblOffset val="100"/>
      </c:catAx>
      <c:valAx>
        <c:axId val="11115724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15545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1176320"/>
        <c:axId val="111194496"/>
      </c:barChart>
      <c:catAx>
        <c:axId val="111176320"/>
        <c:scaling>
          <c:orientation val="minMax"/>
        </c:scaling>
        <c:delete val="1"/>
        <c:axPos val="l"/>
        <c:tickLblPos val="none"/>
        <c:crossAx val="111194496"/>
        <c:crossesAt val="0"/>
        <c:auto val="1"/>
        <c:lblAlgn val="ctr"/>
        <c:lblOffset val="100"/>
      </c:catAx>
      <c:valAx>
        <c:axId val="11119449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17632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1209472"/>
        <c:axId val="111219456"/>
      </c:barChart>
      <c:catAx>
        <c:axId val="111209472"/>
        <c:scaling>
          <c:orientation val="minMax"/>
        </c:scaling>
        <c:delete val="1"/>
        <c:axPos val="l"/>
        <c:tickLblPos val="none"/>
        <c:crossAx val="111219456"/>
        <c:crossesAt val="0"/>
        <c:auto val="1"/>
        <c:lblAlgn val="ctr"/>
        <c:lblOffset val="100"/>
      </c:catAx>
      <c:valAx>
        <c:axId val="11121945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20947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1230336"/>
        <c:axId val="111256704"/>
      </c:barChart>
      <c:catAx>
        <c:axId val="111230336"/>
        <c:scaling>
          <c:orientation val="minMax"/>
        </c:scaling>
        <c:delete val="1"/>
        <c:axPos val="l"/>
        <c:tickLblPos val="none"/>
        <c:crossAx val="111256704"/>
        <c:crossesAt val="0"/>
        <c:auto val="1"/>
        <c:lblAlgn val="ctr"/>
        <c:lblOffset val="100"/>
      </c:catAx>
      <c:valAx>
        <c:axId val="11125670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2303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1284224"/>
        <c:axId val="111285760"/>
      </c:barChart>
      <c:catAx>
        <c:axId val="111284224"/>
        <c:scaling>
          <c:orientation val="minMax"/>
        </c:scaling>
        <c:delete val="1"/>
        <c:axPos val="l"/>
        <c:tickLblPos val="none"/>
        <c:crossAx val="111285760"/>
        <c:crossesAt val="0"/>
        <c:auto val="1"/>
        <c:lblAlgn val="ctr"/>
        <c:lblOffset val="100"/>
      </c:catAx>
      <c:valAx>
        <c:axId val="11128576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28422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1317376"/>
        <c:axId val="111318912"/>
      </c:barChart>
      <c:catAx>
        <c:axId val="111317376"/>
        <c:scaling>
          <c:orientation val="minMax"/>
        </c:scaling>
        <c:delete val="1"/>
        <c:axPos val="l"/>
        <c:tickLblPos val="none"/>
        <c:crossAx val="111318912"/>
        <c:crossesAt val="0"/>
        <c:auto val="1"/>
        <c:lblAlgn val="ctr"/>
        <c:lblOffset val="100"/>
      </c:catAx>
      <c:valAx>
        <c:axId val="11131891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31737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1334144"/>
        <c:axId val="111335680"/>
      </c:barChart>
      <c:catAx>
        <c:axId val="111334144"/>
        <c:scaling>
          <c:orientation val="minMax"/>
        </c:scaling>
        <c:delete val="1"/>
        <c:axPos val="l"/>
        <c:tickLblPos val="none"/>
        <c:crossAx val="111335680"/>
        <c:crossesAt val="0"/>
        <c:auto val="1"/>
        <c:lblAlgn val="ctr"/>
        <c:lblOffset val="100"/>
      </c:catAx>
      <c:valAx>
        <c:axId val="11133568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3341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1441024"/>
        <c:axId val="111442560"/>
      </c:barChart>
      <c:catAx>
        <c:axId val="111441024"/>
        <c:scaling>
          <c:orientation val="minMax"/>
        </c:scaling>
        <c:delete val="1"/>
        <c:axPos val="l"/>
        <c:tickLblPos val="none"/>
        <c:crossAx val="111442560"/>
        <c:crossesAt val="0"/>
        <c:auto val="1"/>
        <c:lblAlgn val="ctr"/>
        <c:lblOffset val="100"/>
      </c:catAx>
      <c:valAx>
        <c:axId val="11144256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44102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1465984"/>
        <c:axId val="111467520"/>
      </c:barChart>
      <c:catAx>
        <c:axId val="111465984"/>
        <c:scaling>
          <c:orientation val="minMax"/>
        </c:scaling>
        <c:delete val="1"/>
        <c:axPos val="l"/>
        <c:tickLblPos val="none"/>
        <c:crossAx val="111467520"/>
        <c:crossesAt val="0"/>
        <c:auto val="1"/>
        <c:lblAlgn val="ctr"/>
        <c:lblOffset val="100"/>
      </c:catAx>
      <c:valAx>
        <c:axId val="11146752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46598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1556480"/>
        <c:axId val="111558016"/>
      </c:barChart>
      <c:catAx>
        <c:axId val="111556480"/>
        <c:scaling>
          <c:orientation val="minMax"/>
        </c:scaling>
        <c:delete val="1"/>
        <c:axPos val="l"/>
        <c:tickLblPos val="none"/>
        <c:crossAx val="111558016"/>
        <c:crossesAt val="0"/>
        <c:auto val="1"/>
        <c:lblAlgn val="ctr"/>
        <c:lblOffset val="100"/>
      </c:catAx>
      <c:valAx>
        <c:axId val="11155801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5564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585536"/>
        <c:axId val="111587328"/>
      </c:barChart>
      <c:catAx>
        <c:axId val="111585536"/>
        <c:scaling>
          <c:orientation val="minMax"/>
        </c:scaling>
        <c:delete val="1"/>
        <c:axPos val="l"/>
        <c:tickLblPos val="none"/>
        <c:crossAx val="111587328"/>
        <c:crossesAt val="0"/>
        <c:auto val="1"/>
        <c:lblAlgn val="ctr"/>
        <c:lblOffset val="100"/>
      </c:catAx>
      <c:valAx>
        <c:axId val="11158732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5855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626880"/>
        <c:axId val="111632768"/>
      </c:barChart>
      <c:catAx>
        <c:axId val="111626880"/>
        <c:scaling>
          <c:orientation val="minMax"/>
        </c:scaling>
        <c:delete val="1"/>
        <c:axPos val="l"/>
        <c:tickLblPos val="none"/>
        <c:crossAx val="111632768"/>
        <c:crossesAt val="0"/>
        <c:auto val="1"/>
        <c:lblAlgn val="ctr"/>
        <c:lblOffset val="100"/>
      </c:catAx>
      <c:valAx>
        <c:axId val="11163276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6268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647744"/>
        <c:axId val="111657728"/>
      </c:barChart>
      <c:catAx>
        <c:axId val="111647744"/>
        <c:scaling>
          <c:orientation val="minMax"/>
        </c:scaling>
        <c:delete val="1"/>
        <c:axPos val="l"/>
        <c:tickLblPos val="none"/>
        <c:crossAx val="111657728"/>
        <c:crossesAt val="0"/>
        <c:auto val="1"/>
        <c:lblAlgn val="ctr"/>
        <c:lblOffset val="100"/>
      </c:catAx>
      <c:valAx>
        <c:axId val="11165772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64774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484288"/>
        <c:axId val="111494272"/>
      </c:barChart>
      <c:catAx>
        <c:axId val="111484288"/>
        <c:scaling>
          <c:orientation val="minMax"/>
        </c:scaling>
        <c:delete val="1"/>
        <c:axPos val="l"/>
        <c:tickLblPos val="none"/>
        <c:crossAx val="111494272"/>
        <c:crossesAt val="0"/>
        <c:auto val="1"/>
        <c:lblAlgn val="ctr"/>
        <c:lblOffset val="100"/>
      </c:catAx>
      <c:valAx>
        <c:axId val="11149427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48428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517696"/>
        <c:axId val="111519232"/>
      </c:barChart>
      <c:catAx>
        <c:axId val="111517696"/>
        <c:scaling>
          <c:orientation val="minMax"/>
        </c:scaling>
        <c:delete val="1"/>
        <c:axPos val="l"/>
        <c:tickLblPos val="none"/>
        <c:crossAx val="111519232"/>
        <c:crossesAt val="0"/>
        <c:auto val="1"/>
        <c:lblAlgn val="ctr"/>
        <c:lblOffset val="100"/>
      </c:catAx>
      <c:valAx>
        <c:axId val="11151923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51769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1686016"/>
        <c:axId val="111687552"/>
      </c:barChart>
      <c:catAx>
        <c:axId val="111686016"/>
        <c:scaling>
          <c:orientation val="minMax"/>
        </c:scaling>
        <c:delete val="1"/>
        <c:axPos val="l"/>
        <c:tickLblPos val="none"/>
        <c:crossAx val="111687552"/>
        <c:crossesAt val="0"/>
        <c:auto val="1"/>
        <c:lblAlgn val="ctr"/>
        <c:lblOffset val="100"/>
      </c:catAx>
      <c:valAx>
        <c:axId val="11168755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68601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1706880"/>
        <c:axId val="111708416"/>
      </c:barChart>
      <c:catAx>
        <c:axId val="111706880"/>
        <c:scaling>
          <c:orientation val="minMax"/>
        </c:scaling>
        <c:delete val="1"/>
        <c:axPos val="l"/>
        <c:tickLblPos val="none"/>
        <c:crossAx val="111708416"/>
        <c:crossesAt val="0"/>
        <c:auto val="1"/>
        <c:lblAlgn val="ctr"/>
        <c:lblOffset val="100"/>
      </c:catAx>
      <c:valAx>
        <c:axId val="11170841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706880"/>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1744128"/>
        <c:axId val="111745664"/>
      </c:barChart>
      <c:catAx>
        <c:axId val="111744128"/>
        <c:scaling>
          <c:orientation val="minMax"/>
        </c:scaling>
        <c:delete val="1"/>
        <c:axPos val="l"/>
        <c:tickLblPos val="none"/>
        <c:crossAx val="111745664"/>
        <c:crossesAt val="0"/>
        <c:auto val="1"/>
        <c:lblAlgn val="ctr"/>
        <c:lblOffset val="100"/>
      </c:catAx>
      <c:valAx>
        <c:axId val="11174566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7441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1764992"/>
        <c:axId val="111766528"/>
      </c:barChart>
      <c:catAx>
        <c:axId val="111764992"/>
        <c:scaling>
          <c:orientation val="minMax"/>
        </c:scaling>
        <c:delete val="1"/>
        <c:axPos val="l"/>
        <c:tickLblPos val="none"/>
        <c:crossAx val="111766528"/>
        <c:crossesAt val="0"/>
        <c:auto val="1"/>
        <c:lblAlgn val="ctr"/>
        <c:lblOffset val="100"/>
      </c:catAx>
      <c:valAx>
        <c:axId val="11176652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76499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1806336"/>
        <c:axId val="111807872"/>
      </c:barChart>
      <c:catAx>
        <c:axId val="111806336"/>
        <c:scaling>
          <c:orientation val="minMax"/>
        </c:scaling>
        <c:delete val="1"/>
        <c:axPos val="l"/>
        <c:tickLblPos val="none"/>
        <c:crossAx val="111807872"/>
        <c:crossesAt val="0"/>
        <c:auto val="1"/>
        <c:lblAlgn val="ctr"/>
        <c:lblOffset val="100"/>
      </c:catAx>
      <c:valAx>
        <c:axId val="11180787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8063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1835392"/>
        <c:axId val="111857664"/>
      </c:barChart>
      <c:catAx>
        <c:axId val="111835392"/>
        <c:scaling>
          <c:orientation val="minMax"/>
        </c:scaling>
        <c:delete val="1"/>
        <c:axPos val="l"/>
        <c:tickLblPos val="none"/>
        <c:crossAx val="111857664"/>
        <c:crossesAt val="0"/>
        <c:auto val="1"/>
        <c:lblAlgn val="ctr"/>
        <c:lblOffset val="100"/>
      </c:catAx>
      <c:valAx>
        <c:axId val="11185766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83539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1876736"/>
        <c:axId val="111882624"/>
      </c:barChart>
      <c:catAx>
        <c:axId val="111876736"/>
        <c:scaling>
          <c:orientation val="minMax"/>
        </c:scaling>
        <c:delete val="1"/>
        <c:axPos val="l"/>
        <c:tickLblPos val="none"/>
        <c:crossAx val="111882624"/>
        <c:crossesAt val="0"/>
        <c:auto val="1"/>
        <c:lblAlgn val="ctr"/>
        <c:lblOffset val="100"/>
      </c:catAx>
      <c:valAx>
        <c:axId val="11188262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87673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1889408"/>
        <c:axId val="111919872"/>
      </c:barChart>
      <c:catAx>
        <c:axId val="111889408"/>
        <c:scaling>
          <c:orientation val="minMax"/>
        </c:scaling>
        <c:delete val="1"/>
        <c:axPos val="l"/>
        <c:tickLblPos val="none"/>
        <c:crossAx val="111919872"/>
        <c:crossesAt val="0"/>
        <c:auto val="1"/>
        <c:lblAlgn val="ctr"/>
        <c:lblOffset val="100"/>
      </c:catAx>
      <c:valAx>
        <c:axId val="11191987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8894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1930752"/>
        <c:axId val="111932544"/>
      </c:barChart>
      <c:catAx>
        <c:axId val="111930752"/>
        <c:scaling>
          <c:orientation val="minMax"/>
        </c:scaling>
        <c:delete val="1"/>
        <c:axPos val="l"/>
        <c:tickLblPos val="none"/>
        <c:crossAx val="111932544"/>
        <c:crossesAt val="0"/>
        <c:auto val="1"/>
        <c:lblAlgn val="ctr"/>
        <c:lblOffset val="100"/>
      </c:catAx>
      <c:valAx>
        <c:axId val="11193254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93075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1976448"/>
        <c:axId val="111977984"/>
      </c:barChart>
      <c:catAx>
        <c:axId val="111976448"/>
        <c:scaling>
          <c:orientation val="minMax"/>
        </c:scaling>
        <c:delete val="1"/>
        <c:axPos val="l"/>
        <c:tickLblPos val="none"/>
        <c:crossAx val="111977984"/>
        <c:crossesAt val="0"/>
        <c:auto val="1"/>
        <c:lblAlgn val="ctr"/>
        <c:lblOffset val="100"/>
      </c:catAx>
      <c:valAx>
        <c:axId val="11197798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9764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1993216"/>
        <c:axId val="111994752"/>
      </c:barChart>
      <c:catAx>
        <c:axId val="111993216"/>
        <c:scaling>
          <c:orientation val="minMax"/>
        </c:scaling>
        <c:delete val="1"/>
        <c:axPos val="l"/>
        <c:tickLblPos val="none"/>
        <c:crossAx val="111994752"/>
        <c:crossesAt val="0"/>
        <c:auto val="1"/>
        <c:lblAlgn val="ctr"/>
        <c:lblOffset val="100"/>
      </c:catAx>
      <c:valAx>
        <c:axId val="11199475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199321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2022272"/>
        <c:axId val="112023808"/>
      </c:barChart>
      <c:catAx>
        <c:axId val="112022272"/>
        <c:scaling>
          <c:orientation val="minMax"/>
        </c:scaling>
        <c:delete val="1"/>
        <c:axPos val="l"/>
        <c:tickLblPos val="none"/>
        <c:crossAx val="112023808"/>
        <c:crossesAt val="0"/>
        <c:auto val="1"/>
        <c:lblAlgn val="ctr"/>
        <c:lblOffset val="100"/>
      </c:catAx>
      <c:valAx>
        <c:axId val="11202380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02227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2063616"/>
        <c:axId val="112065152"/>
      </c:barChart>
      <c:catAx>
        <c:axId val="112063616"/>
        <c:scaling>
          <c:orientation val="minMax"/>
        </c:scaling>
        <c:delete val="1"/>
        <c:axPos val="l"/>
        <c:tickLblPos val="none"/>
        <c:crossAx val="112065152"/>
        <c:crossesAt val="0"/>
        <c:auto val="1"/>
        <c:lblAlgn val="ctr"/>
        <c:lblOffset val="100"/>
      </c:catAx>
      <c:valAx>
        <c:axId val="11206515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063616"/>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2219648"/>
        <c:axId val="112221184"/>
      </c:barChart>
      <c:catAx>
        <c:axId val="112219648"/>
        <c:scaling>
          <c:orientation val="minMax"/>
        </c:scaling>
        <c:delete val="1"/>
        <c:axPos val="l"/>
        <c:tickLblPos val="none"/>
        <c:crossAx val="112221184"/>
        <c:crossesAt val="0"/>
        <c:auto val="1"/>
        <c:lblAlgn val="ctr"/>
        <c:lblOffset val="100"/>
      </c:catAx>
      <c:valAx>
        <c:axId val="11222118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2196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0</c:v>
              </c:pt>
            </c:numLit>
          </c:val>
        </c:ser>
        <c:gapWidth val="0"/>
        <c:axId val="112244608"/>
        <c:axId val="112246144"/>
      </c:barChart>
      <c:catAx>
        <c:axId val="112244608"/>
        <c:scaling>
          <c:orientation val="minMax"/>
        </c:scaling>
        <c:delete val="1"/>
        <c:axPos val="l"/>
        <c:tickLblPos val="none"/>
        <c:crossAx val="112246144"/>
        <c:crossesAt val="0"/>
        <c:auto val="1"/>
        <c:lblAlgn val="ctr"/>
        <c:lblOffset val="100"/>
      </c:catAx>
      <c:valAx>
        <c:axId val="11224614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2446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2351488"/>
        <c:axId val="112365568"/>
      </c:barChart>
      <c:catAx>
        <c:axId val="112351488"/>
        <c:scaling>
          <c:orientation val="minMax"/>
        </c:scaling>
        <c:delete val="1"/>
        <c:axPos val="l"/>
        <c:tickLblPos val="none"/>
        <c:crossAx val="112365568"/>
        <c:crossesAt val="0"/>
        <c:auto val="1"/>
        <c:lblAlgn val="ctr"/>
        <c:lblOffset val="100"/>
      </c:catAx>
      <c:valAx>
        <c:axId val="11236556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35148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2376448"/>
        <c:axId val="112382336"/>
      </c:barChart>
      <c:catAx>
        <c:axId val="112376448"/>
        <c:scaling>
          <c:orientation val="minMax"/>
        </c:scaling>
        <c:delete val="1"/>
        <c:axPos val="l"/>
        <c:tickLblPos val="none"/>
        <c:crossAx val="112382336"/>
        <c:crossesAt val="0"/>
        <c:auto val="1"/>
        <c:lblAlgn val="ctr"/>
        <c:lblOffset val="100"/>
      </c:catAx>
      <c:valAx>
        <c:axId val="112382336"/>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37644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3650688"/>
        <c:axId val="113660672"/>
      </c:barChart>
      <c:catAx>
        <c:axId val="113650688"/>
        <c:scaling>
          <c:orientation val="minMax"/>
        </c:scaling>
        <c:delete val="1"/>
        <c:axPos val="l"/>
        <c:tickLblPos val="none"/>
        <c:crossAx val="113660672"/>
        <c:crossesAt val="0"/>
        <c:auto val="1"/>
        <c:lblAlgn val="ctr"/>
        <c:lblOffset val="100"/>
      </c:catAx>
      <c:valAx>
        <c:axId val="113660672"/>
        <c:scaling>
          <c:orientation val="minMax"/>
          <c:max val="5"/>
          <c:min val="0"/>
        </c:scaling>
        <c:delete val="1"/>
        <c:axPos val="b"/>
        <c:majorGridlines>
          <c:spPr>
            <a:ln w="3175">
              <a:solidFill>
                <a:srgbClr val="FFFFFF"/>
              </a:solidFill>
              <a:prstDash val="solid"/>
            </a:ln>
          </c:spPr>
        </c:majorGridlines>
        <c:numFmt formatCode="General" sourceLinked="1"/>
        <c:tickLblPos val="none"/>
        <c:crossAx val="11365068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3671552"/>
        <c:axId val="113689728"/>
      </c:barChart>
      <c:catAx>
        <c:axId val="113671552"/>
        <c:scaling>
          <c:orientation val="minMax"/>
        </c:scaling>
        <c:delete val="1"/>
        <c:axPos val="l"/>
        <c:tickLblPos val="none"/>
        <c:crossAx val="113689728"/>
        <c:crossesAt val="0"/>
        <c:auto val="1"/>
        <c:lblAlgn val="ctr"/>
        <c:lblOffset val="100"/>
      </c:catAx>
      <c:valAx>
        <c:axId val="11368972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367155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2279552"/>
        <c:axId val="112281088"/>
      </c:barChart>
      <c:catAx>
        <c:axId val="112279552"/>
        <c:scaling>
          <c:orientation val="minMax"/>
        </c:scaling>
        <c:delete val="1"/>
        <c:axPos val="l"/>
        <c:tickLblPos val="none"/>
        <c:crossAx val="112281088"/>
        <c:crossesAt val="0"/>
        <c:auto val="1"/>
        <c:lblAlgn val="ctr"/>
        <c:lblOffset val="100"/>
      </c:catAx>
      <c:valAx>
        <c:axId val="11228108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27955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3.5</c:v>
              </c:pt>
            </c:numLit>
          </c:val>
        </c:ser>
        <c:gapWidth val="0"/>
        <c:axId val="112308608"/>
        <c:axId val="112310144"/>
      </c:barChart>
      <c:catAx>
        <c:axId val="112308608"/>
        <c:scaling>
          <c:orientation val="minMax"/>
        </c:scaling>
        <c:delete val="1"/>
        <c:axPos val="l"/>
        <c:tickLblPos val="none"/>
        <c:crossAx val="112310144"/>
        <c:crossesAt val="0"/>
        <c:auto val="1"/>
        <c:lblAlgn val="ctr"/>
        <c:lblOffset val="100"/>
      </c:catAx>
      <c:valAx>
        <c:axId val="11231014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230860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1.5</c:v>
              </c:pt>
            </c:numLit>
          </c:val>
        </c:ser>
        <c:gapWidth val="0"/>
        <c:axId val="113709824"/>
        <c:axId val="113711360"/>
      </c:barChart>
      <c:catAx>
        <c:axId val="113709824"/>
        <c:scaling>
          <c:orientation val="minMax"/>
        </c:scaling>
        <c:delete val="1"/>
        <c:axPos val="l"/>
        <c:tickLblPos val="none"/>
        <c:crossAx val="113711360"/>
        <c:crossesAt val="0"/>
        <c:auto val="1"/>
        <c:lblAlgn val="ctr"/>
        <c:lblOffset val="100"/>
      </c:catAx>
      <c:valAx>
        <c:axId val="113711360"/>
        <c:scaling>
          <c:orientation val="minMax"/>
          <c:max val="5"/>
          <c:min val="0"/>
        </c:scaling>
        <c:delete val="1"/>
        <c:axPos val="b"/>
        <c:majorGridlines>
          <c:spPr>
            <a:ln w="3175">
              <a:solidFill>
                <a:srgbClr val="FFFFFF"/>
              </a:solidFill>
              <a:prstDash val="solid"/>
            </a:ln>
          </c:spPr>
        </c:majorGridlines>
        <c:numFmt formatCode="General" sourceLinked="1"/>
        <c:tickLblPos val="none"/>
        <c:crossAx val="113709824"/>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3</c:v>
              </c:pt>
            </c:numLit>
          </c:val>
        </c:ser>
        <c:gapWidth val="0"/>
        <c:axId val="113747072"/>
        <c:axId val="113748608"/>
      </c:barChart>
      <c:catAx>
        <c:axId val="113747072"/>
        <c:scaling>
          <c:orientation val="minMax"/>
        </c:scaling>
        <c:delete val="1"/>
        <c:axPos val="l"/>
        <c:tickLblPos val="none"/>
        <c:crossAx val="113748608"/>
        <c:crossesAt val="0"/>
        <c:auto val="1"/>
        <c:lblAlgn val="ctr"/>
        <c:lblOffset val="100"/>
      </c:catAx>
      <c:valAx>
        <c:axId val="11374860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374707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4.5</c:v>
              </c:pt>
            </c:numLit>
          </c:val>
        </c:ser>
        <c:gapWidth val="0"/>
        <c:axId val="113776128"/>
        <c:axId val="113777664"/>
      </c:barChart>
      <c:catAx>
        <c:axId val="113776128"/>
        <c:scaling>
          <c:orientation val="minMax"/>
        </c:scaling>
        <c:delete val="1"/>
        <c:axPos val="l"/>
        <c:tickLblPos val="none"/>
        <c:crossAx val="113777664"/>
        <c:crossesAt val="0"/>
        <c:auto val="1"/>
        <c:lblAlgn val="ctr"/>
        <c:lblOffset val="100"/>
      </c:catAx>
      <c:valAx>
        <c:axId val="113777664"/>
        <c:scaling>
          <c:orientation val="minMax"/>
          <c:max val="5"/>
          <c:min val="0"/>
        </c:scaling>
        <c:delete val="1"/>
        <c:axPos val="b"/>
        <c:majorGridlines>
          <c:spPr>
            <a:ln w="3175">
              <a:solidFill>
                <a:srgbClr val="FFFFFF"/>
              </a:solidFill>
              <a:prstDash val="solid"/>
            </a:ln>
          </c:spPr>
        </c:majorGridlines>
        <c:numFmt formatCode="General" sourceLinked="1"/>
        <c:tickLblPos val="none"/>
        <c:crossAx val="113776128"/>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Lit>
              <c:formatCode>General</c:formatCode>
              <c:ptCount val="1"/>
              <c:pt idx="0">
                <c:v>2.02999999999999</c:v>
              </c:pt>
            </c:numLit>
          </c:val>
        </c:ser>
        <c:gapWidth val="0"/>
        <c:axId val="113796992"/>
        <c:axId val="113798528"/>
      </c:barChart>
      <c:catAx>
        <c:axId val="113796992"/>
        <c:scaling>
          <c:orientation val="minMax"/>
        </c:scaling>
        <c:delete val="1"/>
        <c:axPos val="l"/>
        <c:tickLblPos val="none"/>
        <c:crossAx val="113798528"/>
        <c:crossesAt val="0"/>
        <c:auto val="1"/>
        <c:lblAlgn val="ctr"/>
        <c:lblOffset val="100"/>
      </c:catAx>
      <c:valAx>
        <c:axId val="113798528"/>
        <c:scaling>
          <c:orientation val="minMax"/>
          <c:max val="5"/>
          <c:min val="0"/>
        </c:scaling>
        <c:delete val="1"/>
        <c:axPos val="b"/>
        <c:majorGridlines>
          <c:spPr>
            <a:ln w="3175">
              <a:solidFill>
                <a:srgbClr val="FFFFFF"/>
              </a:solidFill>
              <a:prstDash val="solid"/>
            </a:ln>
          </c:spPr>
        </c:majorGridlines>
        <c:numFmt formatCode="General" sourceLinked="1"/>
        <c:tickLblPos val="none"/>
        <c:crossAx val="113796992"/>
        <c:crosses val="autoZero"/>
        <c:crossBetween val="between"/>
        <c:majorUnit val="1"/>
        <c:minorUnit val="0.1"/>
      </c:valAx>
      <c:spPr>
        <a:noFill/>
        <a:ln w="25400">
          <a:noFill/>
        </a:ln>
      </c:spPr>
    </c:plotArea>
    <c:plotVisOnly val="1"/>
    <c:dispBlanksAs val="gap"/>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6445985022550588E-2"/>
          <c:y val="6.3291791227741367E-2"/>
          <c:w val="0.95205546081181969"/>
          <c:h val="0.88608507718837826"/>
        </c:manualLayout>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Ref>
              <c:f>独自ｼｽﾃﾑ!$Q$16</c:f>
              <c:numCache>
                <c:formatCode>General</c:formatCode>
                <c:ptCount val="1"/>
                <c:pt idx="0">
                  <c:v>2</c:v>
                </c:pt>
              </c:numCache>
            </c:numRef>
          </c:val>
        </c:ser>
        <c:gapWidth val="0"/>
        <c:axId val="113916160"/>
        <c:axId val="113922048"/>
      </c:barChart>
      <c:catAx>
        <c:axId val="113916160"/>
        <c:scaling>
          <c:orientation val="minMax"/>
        </c:scaling>
        <c:delete val="1"/>
        <c:axPos val="l"/>
        <c:tickLblPos val="none"/>
        <c:crossAx val="113922048"/>
        <c:crossesAt val="0"/>
        <c:auto val="1"/>
        <c:lblAlgn val="ctr"/>
        <c:lblOffset val="100"/>
      </c:catAx>
      <c:valAx>
        <c:axId val="113922048"/>
        <c:scaling>
          <c:orientation val="minMax"/>
          <c:max val="5"/>
          <c:min val="0"/>
        </c:scaling>
        <c:delete val="1"/>
        <c:axPos val="b"/>
        <c:numFmt formatCode="General" sourceLinked="1"/>
        <c:tickLblPos val="none"/>
        <c:crossAx val="113916160"/>
        <c:crosses val="autoZero"/>
        <c:crossBetween val="between"/>
        <c:majorUnit val="1"/>
        <c:minorUnit val="0.1"/>
      </c:valAx>
      <c:spPr>
        <a:noFill/>
        <a:ln w="25400">
          <a:noFill/>
        </a:ln>
      </c:spPr>
    </c:plotArea>
    <c:dispBlanksAs val="gap"/>
  </c:chart>
  <c:spPr>
    <a:noFill/>
    <a:ln w="9525">
      <a:noFill/>
    </a:ln>
  </c:spPr>
  <c:txPr>
    <a:bodyPr/>
    <a:lstStyle/>
    <a:p>
      <a:pPr>
        <a:defRPr sz="15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paperSize="9" orientation="landscape"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6445985022550588E-2"/>
          <c:y val="6.3291791227741367E-2"/>
          <c:w val="0.95205546081181969"/>
          <c:h val="0.88608507718837826"/>
        </c:manualLayout>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Ref>
              <c:f>独自ｼｽﾃﾑ!$Q$19</c:f>
              <c:numCache>
                <c:formatCode>General</c:formatCode>
                <c:ptCount val="1"/>
                <c:pt idx="0">
                  <c:v>2</c:v>
                </c:pt>
              </c:numCache>
            </c:numRef>
          </c:val>
        </c:ser>
        <c:gapWidth val="0"/>
        <c:axId val="113928832"/>
        <c:axId val="113959296"/>
      </c:barChart>
      <c:catAx>
        <c:axId val="113928832"/>
        <c:scaling>
          <c:orientation val="minMax"/>
        </c:scaling>
        <c:delete val="1"/>
        <c:axPos val="l"/>
        <c:tickLblPos val="none"/>
        <c:crossAx val="113959296"/>
        <c:crossesAt val="0"/>
        <c:auto val="1"/>
        <c:lblAlgn val="ctr"/>
        <c:lblOffset val="100"/>
      </c:catAx>
      <c:valAx>
        <c:axId val="113959296"/>
        <c:scaling>
          <c:orientation val="minMax"/>
          <c:max val="5"/>
          <c:min val="0"/>
        </c:scaling>
        <c:delete val="1"/>
        <c:axPos val="b"/>
        <c:numFmt formatCode="General" sourceLinked="1"/>
        <c:tickLblPos val="none"/>
        <c:crossAx val="113928832"/>
        <c:crosses val="autoZero"/>
        <c:crossBetween val="between"/>
        <c:majorUnit val="1"/>
        <c:minorUnit val="0.1"/>
      </c:valAx>
      <c:spPr>
        <a:noFill/>
        <a:ln w="25400">
          <a:noFill/>
        </a:ln>
      </c:spPr>
    </c:plotArea>
    <c:dispBlanksAs val="gap"/>
  </c:chart>
  <c:spPr>
    <a:noFill/>
    <a:ln w="9525">
      <a:noFill/>
    </a:ln>
  </c:spPr>
  <c:txPr>
    <a:bodyPr/>
    <a:lstStyle/>
    <a:p>
      <a:pPr>
        <a:defRPr sz="15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2.6445985022550588E-2"/>
          <c:y val="6.3291791227741367E-2"/>
          <c:w val="0.95205546081181969"/>
          <c:h val="0.88608507718837826"/>
        </c:manualLayout>
      </c:layout>
      <c:barChart>
        <c:barDir val="bar"/>
        <c:grouping val="clustered"/>
        <c:ser>
          <c:idx val="0"/>
          <c:order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val>
            <c:numRef>
              <c:f>独自ｼｽﾃﾑ!$Q$22</c:f>
              <c:numCache>
                <c:formatCode>General</c:formatCode>
                <c:ptCount val="1"/>
                <c:pt idx="0">
                  <c:v>2</c:v>
                </c:pt>
              </c:numCache>
            </c:numRef>
          </c:val>
        </c:ser>
        <c:gapWidth val="0"/>
        <c:axId val="114039808"/>
        <c:axId val="114045696"/>
      </c:barChart>
      <c:catAx>
        <c:axId val="114039808"/>
        <c:scaling>
          <c:orientation val="minMax"/>
        </c:scaling>
        <c:delete val="1"/>
        <c:axPos val="l"/>
        <c:tickLblPos val="none"/>
        <c:crossAx val="114045696"/>
        <c:crossesAt val="0"/>
        <c:auto val="1"/>
        <c:lblAlgn val="ctr"/>
        <c:lblOffset val="100"/>
      </c:catAx>
      <c:valAx>
        <c:axId val="114045696"/>
        <c:scaling>
          <c:orientation val="minMax"/>
          <c:max val="5"/>
          <c:min val="0"/>
        </c:scaling>
        <c:delete val="1"/>
        <c:axPos val="b"/>
        <c:numFmt formatCode="General" sourceLinked="1"/>
        <c:tickLblPos val="none"/>
        <c:crossAx val="114039808"/>
        <c:crosses val="autoZero"/>
        <c:crossBetween val="between"/>
        <c:majorUnit val="1"/>
        <c:minorUnit val="0.1"/>
      </c:valAx>
      <c:spPr>
        <a:noFill/>
        <a:ln w="25400">
          <a:noFill/>
        </a:ln>
      </c:spPr>
    </c:plotArea>
    <c:dispBlanksAs val="gap"/>
  </c:chart>
  <c:spPr>
    <a:noFill/>
    <a:ln w="9525">
      <a:noFill/>
    </a:ln>
  </c:spPr>
  <c:txPr>
    <a:bodyPr/>
    <a:lstStyle/>
    <a:p>
      <a:pPr>
        <a:defRPr sz="15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56" r="0.75000000000000056" t="1" header="0.51200000000000001" footer="0.51200000000000001"/>
    <c:pageSetup/>
  </c:printSettings>
</c:chartSpace>
</file>

<file path=xl/ctrlProps/ctrlProp1.xml><?xml version="1.0" encoding="utf-8"?>
<formControlPr xmlns="http://schemas.microsoft.com/office/spreadsheetml/2009/9/main" objectType="CheckBox" fmlaLink="$Q$90" lockText="1"/>
</file>

<file path=xl/ctrlProps/ctrlProp2.xml><?xml version="1.0" encoding="utf-8"?>
<formControlPr xmlns="http://schemas.microsoft.com/office/spreadsheetml/2009/9/main" objectType="CheckBox" fmlaLink="$Q$91" lockText="1"/>
</file>

<file path=xl/ctrlProps/ctrlProp3.xml><?xml version="1.0" encoding="utf-8"?>
<formControlPr xmlns="http://schemas.microsoft.com/office/spreadsheetml/2009/9/main" objectType="CheckBox" fmlaLink="$Q$92" lockText="1"/>
</file>

<file path=xl/ctrlProps/ctrlProp4.xml><?xml version="1.0" encoding="utf-8"?>
<formControlPr xmlns="http://schemas.microsoft.com/office/spreadsheetml/2009/9/main" objectType="CheckBox" fmlaLink="$Q$93" lockText="1"/>
</file>

<file path=xl/ctrlProps/ctrlProp5.xml><?xml version="1.0" encoding="utf-8"?>
<formControlPr xmlns="http://schemas.microsoft.com/office/spreadsheetml/2009/9/main" objectType="CheckBox" fmlaLink="$Q$94" lockText="1"/>
</file>

<file path=xl/ctrlProps/ctrlProp6.xml><?xml version="1.0" encoding="utf-8"?>
<formControlPr xmlns="http://schemas.microsoft.com/office/spreadsheetml/2009/9/main" objectType="CheckBox" fmlaLink="$Q$95" lockText="1"/>
</file>

<file path=xl/ctrlProps/ctrlProp7.xml><?xml version="1.0" encoding="utf-8"?>
<formControlPr xmlns="http://schemas.microsoft.com/office/spreadsheetml/2009/9/main" objectType="CheckBox" fmlaLink="$Q$96" lockText="1"/>
</file>

<file path=xl/ctrlProps/ctrlProp8.xml><?xml version="1.0" encoding="utf-8"?>
<formControlPr xmlns="http://schemas.microsoft.com/office/spreadsheetml/2009/9/main" objectType="CheckBox" fmlaLink="$Q$97" lockText="1"/>
</file>

<file path=xl/ctrlProps/ctrlProp9.xml><?xml version="1.0" encoding="utf-8"?>
<formControlPr xmlns="http://schemas.microsoft.com/office/spreadsheetml/2009/9/main" objectType="CheckBox" fmlaLink="$Q$9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4.xml"/><Relationship Id="rId18" Type="http://schemas.openxmlformats.org/officeDocument/2006/relationships/chart" Target="../charts/chart29.xml"/><Relationship Id="rId26" Type="http://schemas.openxmlformats.org/officeDocument/2006/relationships/chart" Target="../charts/chart37.xml"/><Relationship Id="rId39" Type="http://schemas.openxmlformats.org/officeDocument/2006/relationships/chart" Target="../charts/chart50.xml"/><Relationship Id="rId21" Type="http://schemas.openxmlformats.org/officeDocument/2006/relationships/chart" Target="../charts/chart32.xml"/><Relationship Id="rId34" Type="http://schemas.openxmlformats.org/officeDocument/2006/relationships/chart" Target="../charts/chart45.xml"/><Relationship Id="rId42" Type="http://schemas.openxmlformats.org/officeDocument/2006/relationships/chart" Target="../charts/chart53.xml"/><Relationship Id="rId47" Type="http://schemas.openxmlformats.org/officeDocument/2006/relationships/chart" Target="../charts/chart58.xml"/><Relationship Id="rId50" Type="http://schemas.openxmlformats.org/officeDocument/2006/relationships/chart" Target="../charts/chart61.xml"/><Relationship Id="rId55" Type="http://schemas.openxmlformats.org/officeDocument/2006/relationships/chart" Target="../charts/chart66.xml"/><Relationship Id="rId63" Type="http://schemas.openxmlformats.org/officeDocument/2006/relationships/chart" Target="../charts/chart74.xml"/><Relationship Id="rId68" Type="http://schemas.openxmlformats.org/officeDocument/2006/relationships/chart" Target="../charts/chart79.xml"/><Relationship Id="rId76" Type="http://schemas.openxmlformats.org/officeDocument/2006/relationships/chart" Target="../charts/chart87.xml"/><Relationship Id="rId84" Type="http://schemas.openxmlformats.org/officeDocument/2006/relationships/chart" Target="../charts/chart95.xml"/><Relationship Id="rId89" Type="http://schemas.openxmlformats.org/officeDocument/2006/relationships/chart" Target="../charts/chart100.xml"/><Relationship Id="rId7" Type="http://schemas.openxmlformats.org/officeDocument/2006/relationships/chart" Target="../charts/chart18.xml"/><Relationship Id="rId71" Type="http://schemas.openxmlformats.org/officeDocument/2006/relationships/chart" Target="../charts/chart82.xml"/><Relationship Id="rId92" Type="http://schemas.openxmlformats.org/officeDocument/2006/relationships/chart" Target="../charts/chart103.xml"/><Relationship Id="rId2" Type="http://schemas.openxmlformats.org/officeDocument/2006/relationships/chart" Target="../charts/chart13.xml"/><Relationship Id="rId16" Type="http://schemas.openxmlformats.org/officeDocument/2006/relationships/chart" Target="../charts/chart27.xml"/><Relationship Id="rId29" Type="http://schemas.openxmlformats.org/officeDocument/2006/relationships/chart" Target="../charts/chart40.xml"/><Relationship Id="rId11" Type="http://schemas.openxmlformats.org/officeDocument/2006/relationships/chart" Target="../charts/chart22.xml"/><Relationship Id="rId24" Type="http://schemas.openxmlformats.org/officeDocument/2006/relationships/chart" Target="../charts/chart35.xml"/><Relationship Id="rId32" Type="http://schemas.openxmlformats.org/officeDocument/2006/relationships/chart" Target="../charts/chart43.xml"/><Relationship Id="rId37" Type="http://schemas.openxmlformats.org/officeDocument/2006/relationships/chart" Target="../charts/chart48.xml"/><Relationship Id="rId40" Type="http://schemas.openxmlformats.org/officeDocument/2006/relationships/chart" Target="../charts/chart51.xml"/><Relationship Id="rId45" Type="http://schemas.openxmlformats.org/officeDocument/2006/relationships/chart" Target="../charts/chart56.xml"/><Relationship Id="rId53" Type="http://schemas.openxmlformats.org/officeDocument/2006/relationships/chart" Target="../charts/chart64.xml"/><Relationship Id="rId58" Type="http://schemas.openxmlformats.org/officeDocument/2006/relationships/chart" Target="../charts/chart69.xml"/><Relationship Id="rId66" Type="http://schemas.openxmlformats.org/officeDocument/2006/relationships/chart" Target="../charts/chart77.xml"/><Relationship Id="rId74" Type="http://schemas.openxmlformats.org/officeDocument/2006/relationships/chart" Target="../charts/chart85.xml"/><Relationship Id="rId79" Type="http://schemas.openxmlformats.org/officeDocument/2006/relationships/chart" Target="../charts/chart90.xml"/><Relationship Id="rId87" Type="http://schemas.openxmlformats.org/officeDocument/2006/relationships/chart" Target="../charts/chart98.xml"/><Relationship Id="rId5" Type="http://schemas.openxmlformats.org/officeDocument/2006/relationships/chart" Target="../charts/chart16.xml"/><Relationship Id="rId61" Type="http://schemas.openxmlformats.org/officeDocument/2006/relationships/chart" Target="../charts/chart72.xml"/><Relationship Id="rId82" Type="http://schemas.openxmlformats.org/officeDocument/2006/relationships/chart" Target="../charts/chart93.xml"/><Relationship Id="rId90" Type="http://schemas.openxmlformats.org/officeDocument/2006/relationships/chart" Target="../charts/chart101.xml"/><Relationship Id="rId19" Type="http://schemas.openxmlformats.org/officeDocument/2006/relationships/chart" Target="../charts/chart30.xml"/><Relationship Id="rId14" Type="http://schemas.openxmlformats.org/officeDocument/2006/relationships/chart" Target="../charts/chart25.xml"/><Relationship Id="rId22" Type="http://schemas.openxmlformats.org/officeDocument/2006/relationships/chart" Target="../charts/chart33.xml"/><Relationship Id="rId27" Type="http://schemas.openxmlformats.org/officeDocument/2006/relationships/chart" Target="../charts/chart38.xml"/><Relationship Id="rId30" Type="http://schemas.openxmlformats.org/officeDocument/2006/relationships/chart" Target="../charts/chart41.xml"/><Relationship Id="rId35" Type="http://schemas.openxmlformats.org/officeDocument/2006/relationships/chart" Target="../charts/chart46.xml"/><Relationship Id="rId43" Type="http://schemas.openxmlformats.org/officeDocument/2006/relationships/chart" Target="../charts/chart54.xml"/><Relationship Id="rId48" Type="http://schemas.openxmlformats.org/officeDocument/2006/relationships/chart" Target="../charts/chart59.xml"/><Relationship Id="rId56" Type="http://schemas.openxmlformats.org/officeDocument/2006/relationships/chart" Target="../charts/chart67.xml"/><Relationship Id="rId64" Type="http://schemas.openxmlformats.org/officeDocument/2006/relationships/chart" Target="../charts/chart75.xml"/><Relationship Id="rId69" Type="http://schemas.openxmlformats.org/officeDocument/2006/relationships/chart" Target="../charts/chart80.xml"/><Relationship Id="rId77" Type="http://schemas.openxmlformats.org/officeDocument/2006/relationships/chart" Target="../charts/chart88.xml"/><Relationship Id="rId8" Type="http://schemas.openxmlformats.org/officeDocument/2006/relationships/chart" Target="../charts/chart19.xml"/><Relationship Id="rId51" Type="http://schemas.openxmlformats.org/officeDocument/2006/relationships/chart" Target="../charts/chart62.xml"/><Relationship Id="rId72" Type="http://schemas.openxmlformats.org/officeDocument/2006/relationships/chart" Target="../charts/chart83.xml"/><Relationship Id="rId80" Type="http://schemas.openxmlformats.org/officeDocument/2006/relationships/chart" Target="../charts/chart91.xml"/><Relationship Id="rId85" Type="http://schemas.openxmlformats.org/officeDocument/2006/relationships/chart" Target="../charts/chart96.xml"/><Relationship Id="rId93" Type="http://schemas.openxmlformats.org/officeDocument/2006/relationships/chart" Target="../charts/chart104.xml"/><Relationship Id="rId3" Type="http://schemas.openxmlformats.org/officeDocument/2006/relationships/chart" Target="../charts/chart14.xml"/><Relationship Id="rId12" Type="http://schemas.openxmlformats.org/officeDocument/2006/relationships/chart" Target="../charts/chart23.xml"/><Relationship Id="rId17" Type="http://schemas.openxmlformats.org/officeDocument/2006/relationships/chart" Target="../charts/chart28.xml"/><Relationship Id="rId25" Type="http://schemas.openxmlformats.org/officeDocument/2006/relationships/chart" Target="../charts/chart36.xml"/><Relationship Id="rId33" Type="http://schemas.openxmlformats.org/officeDocument/2006/relationships/chart" Target="../charts/chart44.xml"/><Relationship Id="rId38" Type="http://schemas.openxmlformats.org/officeDocument/2006/relationships/chart" Target="../charts/chart49.xml"/><Relationship Id="rId46" Type="http://schemas.openxmlformats.org/officeDocument/2006/relationships/chart" Target="../charts/chart57.xml"/><Relationship Id="rId59" Type="http://schemas.openxmlformats.org/officeDocument/2006/relationships/chart" Target="../charts/chart70.xml"/><Relationship Id="rId67" Type="http://schemas.openxmlformats.org/officeDocument/2006/relationships/chart" Target="../charts/chart78.xml"/><Relationship Id="rId20" Type="http://schemas.openxmlformats.org/officeDocument/2006/relationships/chart" Target="../charts/chart31.xml"/><Relationship Id="rId41" Type="http://schemas.openxmlformats.org/officeDocument/2006/relationships/chart" Target="../charts/chart52.xml"/><Relationship Id="rId54" Type="http://schemas.openxmlformats.org/officeDocument/2006/relationships/chart" Target="../charts/chart65.xml"/><Relationship Id="rId62" Type="http://schemas.openxmlformats.org/officeDocument/2006/relationships/chart" Target="../charts/chart73.xml"/><Relationship Id="rId70" Type="http://schemas.openxmlformats.org/officeDocument/2006/relationships/chart" Target="../charts/chart81.xml"/><Relationship Id="rId75" Type="http://schemas.openxmlformats.org/officeDocument/2006/relationships/chart" Target="../charts/chart86.xml"/><Relationship Id="rId83" Type="http://schemas.openxmlformats.org/officeDocument/2006/relationships/chart" Target="../charts/chart94.xml"/><Relationship Id="rId88" Type="http://schemas.openxmlformats.org/officeDocument/2006/relationships/chart" Target="../charts/chart99.xml"/><Relationship Id="rId91" Type="http://schemas.openxmlformats.org/officeDocument/2006/relationships/chart" Target="../charts/chart102.xml"/><Relationship Id="rId1" Type="http://schemas.openxmlformats.org/officeDocument/2006/relationships/chart" Target="../charts/chart12.xml"/><Relationship Id="rId6" Type="http://schemas.openxmlformats.org/officeDocument/2006/relationships/chart" Target="../charts/chart17.xml"/><Relationship Id="rId15" Type="http://schemas.openxmlformats.org/officeDocument/2006/relationships/chart" Target="../charts/chart26.xml"/><Relationship Id="rId23" Type="http://schemas.openxmlformats.org/officeDocument/2006/relationships/chart" Target="../charts/chart34.xml"/><Relationship Id="rId28" Type="http://schemas.openxmlformats.org/officeDocument/2006/relationships/chart" Target="../charts/chart39.xml"/><Relationship Id="rId36" Type="http://schemas.openxmlformats.org/officeDocument/2006/relationships/chart" Target="../charts/chart47.xml"/><Relationship Id="rId49" Type="http://schemas.openxmlformats.org/officeDocument/2006/relationships/chart" Target="../charts/chart60.xml"/><Relationship Id="rId57" Type="http://schemas.openxmlformats.org/officeDocument/2006/relationships/chart" Target="../charts/chart68.xml"/><Relationship Id="rId10" Type="http://schemas.openxmlformats.org/officeDocument/2006/relationships/chart" Target="../charts/chart21.xml"/><Relationship Id="rId31" Type="http://schemas.openxmlformats.org/officeDocument/2006/relationships/chart" Target="../charts/chart42.xml"/><Relationship Id="rId44" Type="http://schemas.openxmlformats.org/officeDocument/2006/relationships/chart" Target="../charts/chart55.xml"/><Relationship Id="rId52" Type="http://schemas.openxmlformats.org/officeDocument/2006/relationships/chart" Target="../charts/chart63.xml"/><Relationship Id="rId60" Type="http://schemas.openxmlformats.org/officeDocument/2006/relationships/chart" Target="../charts/chart71.xml"/><Relationship Id="rId65" Type="http://schemas.openxmlformats.org/officeDocument/2006/relationships/chart" Target="../charts/chart76.xml"/><Relationship Id="rId73" Type="http://schemas.openxmlformats.org/officeDocument/2006/relationships/chart" Target="../charts/chart84.xml"/><Relationship Id="rId78" Type="http://schemas.openxmlformats.org/officeDocument/2006/relationships/chart" Target="../charts/chart89.xml"/><Relationship Id="rId81" Type="http://schemas.openxmlformats.org/officeDocument/2006/relationships/chart" Target="../charts/chart92.xml"/><Relationship Id="rId86" Type="http://schemas.openxmlformats.org/officeDocument/2006/relationships/chart" Target="../charts/chart97.xml"/><Relationship Id="rId94" Type="http://schemas.openxmlformats.org/officeDocument/2006/relationships/image" Target="../media/image1.png"/><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oneCellAnchor>
    <xdr:from>
      <xdr:col>2</xdr:col>
      <xdr:colOff>600074</xdr:colOff>
      <xdr:row>0</xdr:row>
      <xdr:rowOff>28575</xdr:rowOff>
    </xdr:from>
    <xdr:ext cx="3492238" cy="713016"/>
    <xdr:sp macro="" textlink="">
      <xdr:nvSpPr>
        <xdr:cNvPr id="3" name="Text Box 20"/>
        <xdr:cNvSpPr txBox="1">
          <a:spLocks noChangeArrowheads="1"/>
        </xdr:cNvSpPr>
      </xdr:nvSpPr>
      <xdr:spPr bwMode="auto">
        <a:xfrm>
          <a:off x="2724149" y="28575"/>
          <a:ext cx="3492238" cy="713016"/>
        </a:xfrm>
        <a:prstGeom prst="rect">
          <a:avLst/>
        </a:prstGeom>
        <a:noFill/>
        <a:ln>
          <a:noFill/>
        </a:ln>
        <a:extLst/>
      </xdr:spPr>
      <xdr:txBody>
        <a:bodyPr vertOverflow="clip" wrap="none" lIns="73152" tIns="45720" rIns="0" bIns="0" anchor="t" upright="1">
          <a:spAutoFit/>
        </a:bodyPr>
        <a:lstStyle/>
        <a:p>
          <a:pPr algn="l" rtl="0">
            <a:defRPr sz="1000"/>
          </a:pPr>
          <a:r>
            <a:rPr lang="ja-JP" altLang="ja-JP" sz="4000" b="0" i="0" u="none" strike="noStrike" baseline="0">
              <a:solidFill>
                <a:srgbClr val="008000"/>
              </a:solidFill>
              <a:latin typeface="HGSｺﾞｼｯｸE" pitchFamily="50" charset="-128"/>
              <a:ea typeface="HGSｺﾞｼｯｸE" pitchFamily="50" charset="-128"/>
              <a:cs typeface="+mn-cs"/>
            </a:rPr>
            <a:t>京都</a:t>
          </a:r>
          <a:r>
            <a:rPr lang="ja-JP" altLang="en-US" sz="4000" b="0" i="0" u="none" strike="noStrike" baseline="0">
              <a:solidFill>
                <a:srgbClr val="008000"/>
              </a:solidFill>
              <a:latin typeface="HGSｺﾞｼｯｸE" pitchFamily="50" charset="-128"/>
              <a:ea typeface="HGSｺﾞｼｯｸE" pitchFamily="50" charset="-128"/>
              <a:cs typeface="+mn-cs"/>
            </a:rPr>
            <a:t> </a:t>
          </a:r>
          <a:r>
            <a:rPr lang="ja-JP" altLang="en-US" sz="4000" b="0" i="0" u="none" strike="noStrike" baseline="0">
              <a:solidFill>
                <a:srgbClr val="008000"/>
              </a:solidFill>
              <a:latin typeface="HGSｺﾞｼｯｸE" pitchFamily="50" charset="-128"/>
              <a:ea typeface="HGSｺﾞｼｯｸE" pitchFamily="50" charset="-128"/>
            </a:rPr>
            <a:t>戸建</a:t>
          </a:r>
          <a:r>
            <a:rPr lang="en-US" altLang="ja-JP" sz="4000" b="0" i="0" u="none" strike="noStrike" baseline="0">
              <a:solidFill>
                <a:srgbClr val="008000"/>
              </a:solidFill>
              <a:latin typeface="HGSｺﾞｼｯｸE" pitchFamily="50" charset="-128"/>
              <a:ea typeface="HGSｺﾞｼｯｸE" pitchFamily="50" charset="-128"/>
            </a:rPr>
            <a:t>-</a:t>
          </a:r>
          <a:r>
            <a:rPr lang="ja-JP" altLang="en-US" sz="4000" b="0" i="0" u="none" strike="noStrike" baseline="0">
              <a:solidFill>
                <a:srgbClr val="008000"/>
              </a:solidFill>
              <a:latin typeface="HGSｺﾞｼｯｸE" pitchFamily="50" charset="-128"/>
              <a:ea typeface="HGSｺﾞｼｯｸE" pitchFamily="50" charset="-128"/>
            </a:rPr>
            <a:t>新築</a:t>
          </a:r>
        </a:p>
      </xdr:txBody>
    </xdr:sp>
    <xdr:clientData/>
  </xdr:oneCellAnchor>
  <xdr:twoCellAnchor editAs="oneCell">
    <xdr:from>
      <xdr:col>1</xdr:col>
      <xdr:colOff>104775</xdr:colOff>
      <xdr:row>1</xdr:row>
      <xdr:rowOff>9525</xdr:rowOff>
    </xdr:from>
    <xdr:to>
      <xdr:col>2</xdr:col>
      <xdr:colOff>647700</xdr:colOff>
      <xdr:row>2</xdr:row>
      <xdr:rowOff>276225</xdr:rowOff>
    </xdr:to>
    <xdr:pic>
      <xdr:nvPicPr>
        <xdr:cNvPr id="5" name="図 9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8125" y="190500"/>
          <a:ext cx="2533650"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43</xdr:row>
      <xdr:rowOff>76200</xdr:rowOff>
    </xdr:from>
    <xdr:to>
      <xdr:col>6</xdr:col>
      <xdr:colOff>398175</xdr:colOff>
      <xdr:row>43</xdr:row>
      <xdr:rowOff>76200</xdr:rowOff>
    </xdr:to>
    <xdr:cxnSp macro="">
      <xdr:nvCxnSpPr>
        <xdr:cNvPr id="76" name="直線コネクタ 75"/>
        <xdr:cNvCxnSpPr/>
      </xdr:nvCxnSpPr>
      <xdr:spPr>
        <a:xfrm>
          <a:off x="381000" y="853440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43</xdr:row>
      <xdr:rowOff>66675</xdr:rowOff>
    </xdr:from>
    <xdr:to>
      <xdr:col>14</xdr:col>
      <xdr:colOff>586575</xdr:colOff>
      <xdr:row>43</xdr:row>
      <xdr:rowOff>66675</xdr:rowOff>
    </xdr:to>
    <xdr:cxnSp macro="">
      <xdr:nvCxnSpPr>
        <xdr:cNvPr id="75" name="直線コネクタ 74"/>
        <xdr:cNvCxnSpPr/>
      </xdr:nvCxnSpPr>
      <xdr:spPr>
        <a:xfrm>
          <a:off x="6991350" y="8524875"/>
          <a:ext cx="2844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43</xdr:row>
      <xdr:rowOff>57150</xdr:rowOff>
    </xdr:from>
    <xdr:to>
      <xdr:col>10</xdr:col>
      <xdr:colOff>817275</xdr:colOff>
      <xdr:row>43</xdr:row>
      <xdr:rowOff>57150</xdr:rowOff>
    </xdr:to>
    <xdr:cxnSp macro="">
      <xdr:nvCxnSpPr>
        <xdr:cNvPr id="3" name="直線コネクタ 2"/>
        <xdr:cNvCxnSpPr/>
      </xdr:nvCxnSpPr>
      <xdr:spPr>
        <a:xfrm>
          <a:off x="3695700" y="851535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54</xdr:row>
      <xdr:rowOff>76200</xdr:rowOff>
    </xdr:from>
    <xdr:to>
      <xdr:col>6</xdr:col>
      <xdr:colOff>415125</xdr:colOff>
      <xdr:row>54</xdr:row>
      <xdr:rowOff>76200</xdr:rowOff>
    </xdr:to>
    <xdr:cxnSp macro="">
      <xdr:nvCxnSpPr>
        <xdr:cNvPr id="77" name="直線コネクタ 76"/>
        <xdr:cNvCxnSpPr/>
      </xdr:nvCxnSpPr>
      <xdr:spPr>
        <a:xfrm>
          <a:off x="361950" y="10677525"/>
          <a:ext cx="2844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54</xdr:row>
      <xdr:rowOff>85725</xdr:rowOff>
    </xdr:from>
    <xdr:to>
      <xdr:col>10</xdr:col>
      <xdr:colOff>817275</xdr:colOff>
      <xdr:row>54</xdr:row>
      <xdr:rowOff>85725</xdr:rowOff>
    </xdr:to>
    <xdr:cxnSp macro="">
      <xdr:nvCxnSpPr>
        <xdr:cNvPr id="78" name="直線コネクタ 77"/>
        <xdr:cNvCxnSpPr/>
      </xdr:nvCxnSpPr>
      <xdr:spPr>
        <a:xfrm>
          <a:off x="3695700" y="1068705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238125</xdr:colOff>
      <xdr:row>54</xdr:row>
      <xdr:rowOff>85725</xdr:rowOff>
    </xdr:from>
    <xdr:to>
      <xdr:col>14</xdr:col>
      <xdr:colOff>588675</xdr:colOff>
      <xdr:row>54</xdr:row>
      <xdr:rowOff>85725</xdr:rowOff>
    </xdr:to>
    <xdr:cxnSp macro="">
      <xdr:nvCxnSpPr>
        <xdr:cNvPr id="74" name="直線コネクタ 73"/>
        <xdr:cNvCxnSpPr/>
      </xdr:nvCxnSpPr>
      <xdr:spPr>
        <a:xfrm>
          <a:off x="7029450" y="1068705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1066800</xdr:colOff>
      <xdr:row>50</xdr:row>
      <xdr:rowOff>133350</xdr:rowOff>
    </xdr:from>
    <xdr:to>
      <xdr:col>14</xdr:col>
      <xdr:colOff>647700</xdr:colOff>
      <xdr:row>58</xdr:row>
      <xdr:rowOff>161925</xdr:rowOff>
    </xdr:to>
    <xdr:graphicFrame macro="">
      <xdr:nvGraphicFramePr>
        <xdr:cNvPr id="59258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59258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592589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92589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59258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59258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24</xdr:row>
      <xdr:rowOff>0</xdr:rowOff>
    </xdr:from>
    <xdr:to>
      <xdr:col>6</xdr:col>
      <xdr:colOff>247650</xdr:colOff>
      <xdr:row>35</xdr:row>
      <xdr:rowOff>181707</xdr:rowOff>
    </xdr:to>
    <xdr:graphicFrame macro="">
      <xdr:nvGraphicFramePr>
        <xdr:cNvPr id="592589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247856" name="Text Box 48"/>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592590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13</xdr:col>
      <xdr:colOff>87630</xdr:colOff>
      <xdr:row>50</xdr:row>
      <xdr:rowOff>0</xdr:rowOff>
    </xdr:from>
    <xdr:ext cx="845040" cy="206467"/>
    <xdr:sp macro="" textlink="">
      <xdr:nvSpPr>
        <xdr:cNvPr id="247886" name="Text Box 78"/>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247887" name="Text Box 79"/>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247888" name="Text Box 80"/>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247889" name="Text Box 81"/>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247890" name="Text Box 82"/>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247891" name="Text Box 83"/>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68</xdr:row>
      <xdr:rowOff>7620</xdr:rowOff>
    </xdr:from>
    <xdr:to>
      <xdr:col>16</xdr:col>
      <xdr:colOff>7620</xdr:colOff>
      <xdr:row>74</xdr:row>
      <xdr:rowOff>7676</xdr:rowOff>
    </xdr:to>
    <xdr:sp macro="" textlink="">
      <xdr:nvSpPr>
        <xdr:cNvPr id="247892" name="Text Box 84"/>
        <xdr:cNvSpPr txBox="1">
          <a:spLocks noChangeArrowheads="1"/>
        </xdr:cNvSpPr>
      </xdr:nvSpPr>
      <xdr:spPr bwMode="auto">
        <a:xfrm>
          <a:off x="68580" y="1442466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179038</xdr:colOff>
      <xdr:row>46</xdr:row>
      <xdr:rowOff>152076</xdr:rowOff>
    </xdr:from>
    <xdr:ext cx="378515" cy="135181"/>
    <xdr:sp macro="" textlink="">
      <xdr:nvSpPr>
        <xdr:cNvPr id="247893" name="Text Box 85"/>
        <xdr:cNvSpPr txBox="1">
          <a:spLocks noChangeArrowheads="1"/>
        </xdr:cNvSpPr>
      </xdr:nvSpPr>
      <xdr:spPr bwMode="auto">
        <a:xfrm>
          <a:off x="5852128" y="9172251"/>
          <a:ext cx="37593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114300</xdr:rowOff>
    </xdr:from>
    <xdr:to>
      <xdr:col>8</xdr:col>
      <xdr:colOff>388303</xdr:colOff>
      <xdr:row>48</xdr:row>
      <xdr:rowOff>7620</xdr:rowOff>
    </xdr:to>
    <xdr:sp macro="" textlink="">
      <xdr:nvSpPr>
        <xdr:cNvPr id="247894" name="Text Box 86"/>
        <xdr:cNvSpPr txBox="1">
          <a:spLocks noChangeArrowheads="1"/>
        </xdr:cNvSpPr>
      </xdr:nvSpPr>
      <xdr:spPr bwMode="auto">
        <a:xfrm>
          <a:off x="3337560" y="9098280"/>
          <a:ext cx="754380" cy="2743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152076</xdr:rowOff>
    </xdr:from>
    <xdr:ext cx="478529" cy="133370"/>
    <xdr:sp macro="" textlink="">
      <xdr:nvSpPr>
        <xdr:cNvPr id="247895" name="Text Box 87"/>
        <xdr:cNvSpPr txBox="1">
          <a:spLocks noChangeArrowheads="1"/>
        </xdr:cNvSpPr>
      </xdr:nvSpPr>
      <xdr:spPr bwMode="auto">
        <a:xfrm>
          <a:off x="4926330" y="9181776"/>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152400</xdr:rowOff>
    </xdr:from>
    <xdr:to>
      <xdr:col>2</xdr:col>
      <xdr:colOff>762413</xdr:colOff>
      <xdr:row>47</xdr:row>
      <xdr:rowOff>106680</xdr:rowOff>
    </xdr:to>
    <xdr:sp macro="" textlink="">
      <xdr:nvSpPr>
        <xdr:cNvPr id="247896" name="Text Box 88"/>
        <xdr:cNvSpPr txBox="1">
          <a:spLocks noChangeArrowheads="1"/>
        </xdr:cNvSpPr>
      </xdr:nvSpPr>
      <xdr:spPr bwMode="auto">
        <a:xfrm>
          <a:off x="327660" y="9136380"/>
          <a:ext cx="5562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152400</xdr:rowOff>
    </xdr:from>
    <xdr:to>
      <xdr:col>4</xdr:col>
      <xdr:colOff>206539</xdr:colOff>
      <xdr:row>47</xdr:row>
      <xdr:rowOff>122251</xdr:rowOff>
    </xdr:to>
    <xdr:sp macro="" textlink="">
      <xdr:nvSpPr>
        <xdr:cNvPr id="247897" name="Text Box 89"/>
        <xdr:cNvSpPr txBox="1">
          <a:spLocks noChangeArrowheads="1"/>
        </xdr:cNvSpPr>
      </xdr:nvSpPr>
      <xdr:spPr bwMode="auto">
        <a:xfrm>
          <a:off x="876300" y="9136380"/>
          <a:ext cx="807720" cy="1676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152400</xdr:rowOff>
    </xdr:from>
    <xdr:to>
      <xdr:col>5</xdr:col>
      <xdr:colOff>247974</xdr:colOff>
      <xdr:row>47</xdr:row>
      <xdr:rowOff>106680</xdr:rowOff>
    </xdr:to>
    <xdr:sp macro="" textlink="">
      <xdr:nvSpPr>
        <xdr:cNvPr id="247898" name="Text Box 90"/>
        <xdr:cNvSpPr txBox="1">
          <a:spLocks noChangeArrowheads="1"/>
        </xdr:cNvSpPr>
      </xdr:nvSpPr>
      <xdr:spPr bwMode="auto">
        <a:xfrm>
          <a:off x="1645920" y="9136380"/>
          <a:ext cx="52578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152400</xdr:rowOff>
    </xdr:from>
    <xdr:to>
      <xdr:col>6</xdr:col>
      <xdr:colOff>335280</xdr:colOff>
      <xdr:row>47</xdr:row>
      <xdr:rowOff>106680</xdr:rowOff>
    </xdr:to>
    <xdr:sp macro="" textlink="">
      <xdr:nvSpPr>
        <xdr:cNvPr id="247899" name="Text Box 91"/>
        <xdr:cNvSpPr txBox="1">
          <a:spLocks noChangeArrowheads="1"/>
        </xdr:cNvSpPr>
      </xdr:nvSpPr>
      <xdr:spPr bwMode="auto">
        <a:xfrm>
          <a:off x="2286000" y="9136380"/>
          <a:ext cx="5181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106680</xdr:rowOff>
    </xdr:from>
    <xdr:to>
      <xdr:col>12</xdr:col>
      <xdr:colOff>735561</xdr:colOff>
      <xdr:row>47</xdr:row>
      <xdr:rowOff>182880</xdr:rowOff>
    </xdr:to>
    <xdr:sp macro="" textlink="">
      <xdr:nvSpPr>
        <xdr:cNvPr id="247900" name="Text Box 92"/>
        <xdr:cNvSpPr txBox="1">
          <a:spLocks noChangeArrowheads="1"/>
        </xdr:cNvSpPr>
      </xdr:nvSpPr>
      <xdr:spPr bwMode="auto">
        <a:xfrm>
          <a:off x="6957060" y="9090660"/>
          <a:ext cx="55626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106680</xdr:rowOff>
    </xdr:from>
    <xdr:to>
      <xdr:col>12</xdr:col>
      <xdr:colOff>38206</xdr:colOff>
      <xdr:row>47</xdr:row>
      <xdr:rowOff>182880</xdr:rowOff>
    </xdr:to>
    <xdr:sp macro="" textlink="">
      <xdr:nvSpPr>
        <xdr:cNvPr id="247901" name="Text Box 93"/>
        <xdr:cNvSpPr txBox="1">
          <a:spLocks noChangeArrowheads="1"/>
        </xdr:cNvSpPr>
      </xdr:nvSpPr>
      <xdr:spPr bwMode="auto">
        <a:xfrm>
          <a:off x="6263640" y="9090660"/>
          <a:ext cx="61722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106680</xdr:rowOff>
    </xdr:from>
    <xdr:to>
      <xdr:col>13</xdr:col>
      <xdr:colOff>586673</xdr:colOff>
      <xdr:row>48</xdr:row>
      <xdr:rowOff>7620</xdr:rowOff>
    </xdr:to>
    <xdr:sp macro="" textlink="">
      <xdr:nvSpPr>
        <xdr:cNvPr id="247902" name="Text Box 94"/>
        <xdr:cNvSpPr txBox="1">
          <a:spLocks noChangeArrowheads="1"/>
        </xdr:cNvSpPr>
      </xdr:nvSpPr>
      <xdr:spPr bwMode="auto">
        <a:xfrm>
          <a:off x="7620000" y="9090660"/>
          <a:ext cx="50292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106680</xdr:rowOff>
    </xdr:from>
    <xdr:to>
      <xdr:col>15</xdr:col>
      <xdr:colOff>1222</xdr:colOff>
      <xdr:row>48</xdr:row>
      <xdr:rowOff>7620</xdr:rowOff>
    </xdr:to>
    <xdr:sp macro="" textlink="">
      <xdr:nvSpPr>
        <xdr:cNvPr id="247903" name="Text Box 95"/>
        <xdr:cNvSpPr txBox="1">
          <a:spLocks noChangeArrowheads="1"/>
        </xdr:cNvSpPr>
      </xdr:nvSpPr>
      <xdr:spPr bwMode="auto">
        <a:xfrm>
          <a:off x="8168640" y="9090660"/>
          <a:ext cx="83058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247904" name="Text Box 96"/>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247905" name="Text Box 97"/>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99060</xdr:rowOff>
    </xdr:from>
    <xdr:to>
      <xdr:col>12</xdr:col>
      <xdr:colOff>331513</xdr:colOff>
      <xdr:row>58</xdr:row>
      <xdr:rowOff>190500</xdr:rowOff>
    </xdr:to>
    <xdr:sp macro="" textlink="">
      <xdr:nvSpPr>
        <xdr:cNvPr id="247906" name="Text Box 98"/>
        <xdr:cNvSpPr txBox="1">
          <a:spLocks noChangeArrowheads="1"/>
        </xdr:cNvSpPr>
      </xdr:nvSpPr>
      <xdr:spPr bwMode="auto">
        <a:xfrm>
          <a:off x="6347460" y="11209020"/>
          <a:ext cx="807720" cy="28956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99060</xdr:rowOff>
    </xdr:from>
    <xdr:to>
      <xdr:col>13</xdr:col>
      <xdr:colOff>373398</xdr:colOff>
      <xdr:row>59</xdr:row>
      <xdr:rowOff>0</xdr:rowOff>
    </xdr:to>
    <xdr:sp macro="" textlink="">
      <xdr:nvSpPr>
        <xdr:cNvPr id="247907" name="Text Box 99"/>
        <xdr:cNvSpPr txBox="1">
          <a:spLocks noChangeArrowheads="1"/>
        </xdr:cNvSpPr>
      </xdr:nvSpPr>
      <xdr:spPr bwMode="auto">
        <a:xfrm>
          <a:off x="7277100" y="11209020"/>
          <a:ext cx="640080" cy="29718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99060</xdr:rowOff>
    </xdr:from>
    <xdr:to>
      <xdr:col>14</xdr:col>
      <xdr:colOff>506952</xdr:colOff>
      <xdr:row>58</xdr:row>
      <xdr:rowOff>190500</xdr:rowOff>
    </xdr:to>
    <xdr:sp macro="" textlink="">
      <xdr:nvSpPr>
        <xdr:cNvPr id="247908" name="Text Box 100"/>
        <xdr:cNvSpPr txBox="1">
          <a:spLocks noChangeArrowheads="1"/>
        </xdr:cNvSpPr>
      </xdr:nvSpPr>
      <xdr:spPr bwMode="auto">
        <a:xfrm>
          <a:off x="8069580" y="11209020"/>
          <a:ext cx="701040" cy="28956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247910" name="Text Box 102"/>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247911" name="Text Box 103"/>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247912" name="Text Box 104"/>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247913" name="Text Box 105"/>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59259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247837" name="Text Box 29"/>
        <xdr:cNvSpPr txBox="1">
          <a:spLocks noChangeArrowheads="1"/>
        </xdr:cNvSpPr>
      </xdr:nvSpPr>
      <xdr:spPr bwMode="auto">
        <a:xfrm>
          <a:off x="6196965" y="4495800"/>
          <a:ext cx="817227"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247838" name="Text Box 30"/>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247839" name="Text Box 31"/>
        <xdr:cNvSpPr txBox="1">
          <a:spLocks noChangeArrowheads="1"/>
        </xdr:cNvSpPr>
      </xdr:nvSpPr>
      <xdr:spPr bwMode="auto">
        <a:xfrm>
          <a:off x="8313420" y="4511040"/>
          <a:ext cx="499419" cy="205740"/>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247840" name="Text Box 32"/>
        <xdr:cNvSpPr txBox="1">
          <a:spLocks noChangeArrowheads="1"/>
        </xdr:cNvSpPr>
      </xdr:nvSpPr>
      <xdr:spPr bwMode="auto">
        <a:xfrm>
          <a:off x="6168390" y="5821680"/>
          <a:ext cx="518387" cy="206003"/>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247841" name="Text Box 33"/>
        <xdr:cNvSpPr txBox="1">
          <a:spLocks noChangeArrowheads="1"/>
        </xdr:cNvSpPr>
      </xdr:nvSpPr>
      <xdr:spPr bwMode="auto">
        <a:xfrm>
          <a:off x="7101840" y="6438900"/>
          <a:ext cx="655320" cy="19812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247842" name="Text Box 34"/>
        <xdr:cNvSpPr txBox="1">
          <a:spLocks noChangeArrowheads="1"/>
        </xdr:cNvSpPr>
      </xdr:nvSpPr>
      <xdr:spPr bwMode="auto">
        <a:xfrm>
          <a:off x="8456295" y="5829300"/>
          <a:ext cx="429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247845" name="Text Box 37"/>
        <xdr:cNvSpPr txBox="1">
          <a:spLocks noChangeArrowheads="1"/>
        </xdr:cNvSpPr>
      </xdr:nvSpPr>
      <xdr:spPr bwMode="auto">
        <a:xfrm>
          <a:off x="7124700" y="4023360"/>
          <a:ext cx="817227" cy="18322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247924" name="Text Box 131"/>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92594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247927" name="Text Box 129"/>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247930" name="Text Box 131"/>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29</xdr:row>
      <xdr:rowOff>160020</xdr:rowOff>
    </xdr:to>
    <xdr:sp macro="" textlink="">
      <xdr:nvSpPr>
        <xdr:cNvPr id="247931" name="Text Box 131"/>
        <xdr:cNvSpPr txBox="1">
          <a:spLocks noChangeArrowheads="1"/>
        </xdr:cNvSpPr>
      </xdr:nvSpPr>
      <xdr:spPr bwMode="auto">
        <a:xfrm>
          <a:off x="3147060" y="5410200"/>
          <a:ext cx="883920"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247928" name="Text Box 120"/>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925945" name="Chart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80010</xdr:colOff>
      <xdr:row>30</xdr:row>
      <xdr:rowOff>9525</xdr:rowOff>
    </xdr:from>
    <xdr:to>
      <xdr:col>8</xdr:col>
      <xdr:colOff>302694</xdr:colOff>
      <xdr:row>31</xdr:row>
      <xdr:rowOff>108585</xdr:rowOff>
    </xdr:to>
    <xdr:sp macro="" textlink="">
      <xdr:nvSpPr>
        <xdr:cNvPr id="60" name="Text Box 131"/>
        <xdr:cNvSpPr txBox="1">
          <a:spLocks noChangeArrowheads="1"/>
        </xdr:cNvSpPr>
      </xdr:nvSpPr>
      <xdr:spPr bwMode="auto">
        <a:xfrm>
          <a:off x="3499485" y="5791200"/>
          <a:ext cx="983037"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4</xdr:col>
      <xdr:colOff>219075</xdr:colOff>
      <xdr:row>27</xdr:row>
      <xdr:rowOff>19050</xdr:rowOff>
    </xdr:from>
    <xdr:to>
      <xdr:col>5</xdr:col>
      <xdr:colOff>66675</xdr:colOff>
      <xdr:row>28</xdr:row>
      <xdr:rowOff>114300</xdr:rowOff>
    </xdr:to>
    <xdr:sp macro="" textlink="$S$13">
      <xdr:nvSpPr>
        <xdr:cNvPr id="5322838" name="Text Box 25686"/>
        <xdr:cNvSpPr txBox="1">
          <a:spLocks noChangeArrowheads="1" noTextEdit="1"/>
        </xdr:cNvSpPr>
      </xdr:nvSpPr>
      <xdr:spPr bwMode="auto">
        <a:xfrm>
          <a:off x="1866900" y="5172075"/>
          <a:ext cx="361950" cy="28575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9" name="Text Box 39"/>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oneCellAnchor>
    <xdr:from>
      <xdr:col>6</xdr:col>
      <xdr:colOff>112433</xdr:colOff>
      <xdr:row>0</xdr:row>
      <xdr:rowOff>0</xdr:rowOff>
    </xdr:from>
    <xdr:ext cx="4146176" cy="885265"/>
    <xdr:sp macro="" textlink="">
      <xdr:nvSpPr>
        <xdr:cNvPr id="61" name="Text Box 20"/>
        <xdr:cNvSpPr txBox="1">
          <a:spLocks noChangeArrowheads="1"/>
        </xdr:cNvSpPr>
      </xdr:nvSpPr>
      <xdr:spPr bwMode="auto">
        <a:xfrm>
          <a:off x="2903258" y="0"/>
          <a:ext cx="4146176" cy="885265"/>
        </a:xfrm>
        <a:prstGeom prst="rect">
          <a:avLst/>
        </a:prstGeom>
        <a:noFill/>
        <a:ln>
          <a:noFill/>
        </a:ln>
        <a:extLst/>
      </xdr:spPr>
      <xdr:txBody>
        <a:bodyPr vertOverflow="clip" wrap="square" lIns="73152" tIns="45720" rIns="0" bIns="0" anchor="t" upright="1">
          <a:noAutofit/>
        </a:bodyPr>
        <a:lstStyle/>
        <a:p>
          <a:pPr algn="l" rtl="0">
            <a:defRPr sz="1000"/>
          </a:pPr>
          <a:r>
            <a:rPr lang="ja-JP" altLang="ja-JP" sz="4400" b="0" i="0" u="none" strike="noStrike" baseline="0">
              <a:solidFill>
                <a:srgbClr val="008000"/>
              </a:solidFill>
              <a:latin typeface="HGSｺﾞｼｯｸE" pitchFamily="50" charset="-128"/>
              <a:ea typeface="HGSｺﾞｼｯｸE" pitchFamily="50" charset="-128"/>
              <a:cs typeface="+mn-cs"/>
            </a:rPr>
            <a:t>京都</a:t>
          </a:r>
          <a:r>
            <a:rPr lang="ja-JP" altLang="en-US" sz="4400" b="0" i="0" u="none" strike="noStrike" baseline="0">
              <a:solidFill>
                <a:srgbClr val="008000"/>
              </a:solidFill>
              <a:latin typeface="HGSｺﾞｼｯｸE" pitchFamily="50" charset="-128"/>
              <a:ea typeface="HGSｺﾞｼｯｸE" pitchFamily="50" charset="-128"/>
              <a:cs typeface="+mn-cs"/>
            </a:rPr>
            <a:t> </a:t>
          </a:r>
          <a:r>
            <a:rPr lang="ja-JP" altLang="en-US" sz="4400" b="0" i="0" u="none" strike="noStrike" baseline="0">
              <a:solidFill>
                <a:srgbClr val="008000"/>
              </a:solidFill>
              <a:latin typeface="HGSｺﾞｼｯｸE" pitchFamily="50" charset="-128"/>
              <a:ea typeface="HGSｺﾞｼｯｸE" pitchFamily="50" charset="-128"/>
            </a:rPr>
            <a:t>戸建</a:t>
          </a:r>
          <a:r>
            <a:rPr lang="en-US" altLang="ja-JP" sz="4400" b="0" i="0" u="none" strike="noStrike" baseline="0">
              <a:solidFill>
                <a:srgbClr val="008000"/>
              </a:solidFill>
              <a:latin typeface="HGSｺﾞｼｯｸE" pitchFamily="50" charset="-128"/>
              <a:ea typeface="HGSｺﾞｼｯｸE" pitchFamily="50" charset="-128"/>
            </a:rPr>
            <a:t>-</a:t>
          </a:r>
          <a:r>
            <a:rPr lang="ja-JP" altLang="en-US" sz="4400" b="0" i="0" u="none" strike="noStrike" baseline="0">
              <a:solidFill>
                <a:srgbClr val="008000"/>
              </a:solidFill>
              <a:latin typeface="HGSｺﾞｼｯｸE" pitchFamily="50" charset="-128"/>
              <a:ea typeface="HGSｺﾞｼｯｸE" pitchFamily="50" charset="-128"/>
            </a:rPr>
            <a:t>新築</a:t>
          </a:r>
        </a:p>
      </xdr:txBody>
    </xdr:sp>
    <xdr:clientData/>
  </xdr:oneCellAnchor>
  <xdr:twoCellAnchor>
    <xdr:from>
      <xdr:col>11</xdr:col>
      <xdr:colOff>314886</xdr:colOff>
      <xdr:row>0</xdr:row>
      <xdr:rowOff>18489</xdr:rowOff>
    </xdr:from>
    <xdr:to>
      <xdr:col>13</xdr:col>
      <xdr:colOff>778249</xdr:colOff>
      <xdr:row>5</xdr:row>
      <xdr:rowOff>10085</xdr:rowOff>
    </xdr:to>
    <xdr:grpSp>
      <xdr:nvGrpSpPr>
        <xdr:cNvPr id="62" name="Group 2670"/>
        <xdr:cNvGrpSpPr>
          <a:grpSpLocks/>
        </xdr:cNvGrpSpPr>
      </xdr:nvGrpSpPr>
      <xdr:grpSpPr bwMode="auto">
        <a:xfrm>
          <a:off x="7106211" y="18489"/>
          <a:ext cx="2101663" cy="972671"/>
          <a:chOff x="749" y="9"/>
          <a:chExt cx="296" cy="99"/>
        </a:xfrm>
      </xdr:grpSpPr>
      <xdr:sp macro="" textlink="">
        <xdr:nvSpPr>
          <xdr:cNvPr id="64" name="テキスト ボックス 63"/>
          <xdr:cNvSpPr txBox="1"/>
        </xdr:nvSpPr>
        <xdr:spPr>
          <a:xfrm>
            <a:off x="753" y="9"/>
            <a:ext cx="277" cy="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rtl="0">
              <a:lnSpc>
                <a:spcPts val="2800"/>
              </a:lnSpc>
              <a:defRPr sz="1000"/>
            </a:pPr>
            <a:r>
              <a:rPr lang="ja-JP" altLang="en-US" sz="2300" b="0" i="0" u="none" strike="noStrike" baseline="0">
                <a:solidFill>
                  <a:srgbClr val="000000"/>
                </a:solidFill>
                <a:latin typeface="ＭＳ Ｐゴシック"/>
                <a:ea typeface="ＭＳ Ｐゴシック"/>
              </a:rPr>
              <a:t>標準システム</a:t>
            </a:r>
            <a:endParaRPr lang="ja-JP" altLang="en-US" sz="2300" b="0" i="0" u="none" strike="noStrike" baseline="0">
              <a:solidFill>
                <a:srgbClr val="000000"/>
              </a:solidFill>
              <a:latin typeface="Calibri"/>
              <a:cs typeface="Calibri"/>
            </a:endParaRPr>
          </a:p>
          <a:p>
            <a:pPr algn="ctr" rtl="0">
              <a:lnSpc>
                <a:spcPts val="2600"/>
              </a:lnSpc>
              <a:defRPr sz="1000"/>
            </a:pPr>
            <a:r>
              <a:rPr lang="ja-JP" altLang="en-US" sz="2300" b="0" i="0" u="none" strike="noStrike" baseline="0">
                <a:solidFill>
                  <a:srgbClr val="000000"/>
                </a:solidFill>
                <a:latin typeface="ＭＳ Ｐゴシック"/>
                <a:ea typeface="ＭＳ Ｐゴシック"/>
              </a:rPr>
              <a:t>評価結果</a:t>
            </a:r>
          </a:p>
        </xdr:txBody>
      </xdr:sp>
      <xdr:sp macro="" textlink="">
        <xdr:nvSpPr>
          <xdr:cNvPr id="65" name="正方形/長方形 64"/>
          <xdr:cNvSpPr/>
        </xdr:nvSpPr>
        <xdr:spPr>
          <a:xfrm>
            <a:off x="749" y="11"/>
            <a:ext cx="15" cy="74"/>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6" name="正方形/長方形 65"/>
          <xdr:cNvSpPr/>
        </xdr:nvSpPr>
        <xdr:spPr>
          <a:xfrm>
            <a:off x="1030" y="12"/>
            <a:ext cx="15" cy="74"/>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2</xdr:col>
      <xdr:colOff>0</xdr:colOff>
      <xdr:row>1</xdr:row>
      <xdr:rowOff>175371</xdr:rowOff>
    </xdr:from>
    <xdr:to>
      <xdr:col>6</xdr:col>
      <xdr:colOff>133911</xdr:colOff>
      <xdr:row>3</xdr:row>
      <xdr:rowOff>62752</xdr:rowOff>
    </xdr:to>
    <xdr:pic>
      <xdr:nvPicPr>
        <xdr:cNvPr id="67" name="図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219075" y="251571"/>
          <a:ext cx="2705661" cy="4684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66675</xdr:colOff>
      <xdr:row>39</xdr:row>
      <xdr:rowOff>85725</xdr:rowOff>
    </xdr:from>
    <xdr:to>
      <xdr:col>2</xdr:col>
      <xdr:colOff>142515</xdr:colOff>
      <xdr:row>47</xdr:row>
      <xdr:rowOff>506</xdr:rowOff>
    </xdr:to>
    <xdr:pic>
      <xdr:nvPicPr>
        <xdr:cNvPr id="68" name="図 67"/>
        <xdr:cNvPicPr>
          <a:picLocks noChangeAspect="1"/>
        </xdr:cNvPicPr>
      </xdr:nvPicPr>
      <xdr:blipFill>
        <a:blip xmlns:r="http://schemas.openxmlformats.org/officeDocument/2006/relationships" r:embed="rId13" cstate="print"/>
        <a:stretch>
          <a:fillRect/>
        </a:stretch>
      </xdr:blipFill>
      <xdr:spPr>
        <a:xfrm>
          <a:off x="123825" y="7781925"/>
          <a:ext cx="237765" cy="1438781"/>
        </a:xfrm>
        <a:prstGeom prst="rect">
          <a:avLst/>
        </a:prstGeom>
      </xdr:spPr>
    </xdr:pic>
    <xdr:clientData/>
  </xdr:twoCellAnchor>
  <xdr:twoCellAnchor editAs="oneCell">
    <xdr:from>
      <xdr:col>10</xdr:col>
      <xdr:colOff>1038225</xdr:colOff>
      <xdr:row>39</xdr:row>
      <xdr:rowOff>66675</xdr:rowOff>
    </xdr:from>
    <xdr:to>
      <xdr:col>11</xdr:col>
      <xdr:colOff>171090</xdr:colOff>
      <xdr:row>46</xdr:row>
      <xdr:rowOff>171956</xdr:rowOff>
    </xdr:to>
    <xdr:pic>
      <xdr:nvPicPr>
        <xdr:cNvPr id="69" name="図 68"/>
        <xdr:cNvPicPr>
          <a:picLocks noChangeAspect="1"/>
        </xdr:cNvPicPr>
      </xdr:nvPicPr>
      <xdr:blipFill>
        <a:blip xmlns:r="http://schemas.openxmlformats.org/officeDocument/2006/relationships" r:embed="rId13" cstate="print"/>
        <a:stretch>
          <a:fillRect/>
        </a:stretch>
      </xdr:blipFill>
      <xdr:spPr>
        <a:xfrm>
          <a:off x="6724650" y="7762875"/>
          <a:ext cx="237765" cy="1438781"/>
        </a:xfrm>
        <a:prstGeom prst="rect">
          <a:avLst/>
        </a:prstGeom>
      </xdr:spPr>
    </xdr:pic>
    <xdr:clientData/>
  </xdr:twoCellAnchor>
  <xdr:twoCellAnchor editAs="oneCell">
    <xdr:from>
      <xdr:col>6</xdr:col>
      <xdr:colOff>628650</xdr:colOff>
      <xdr:row>39</xdr:row>
      <xdr:rowOff>66675</xdr:rowOff>
    </xdr:from>
    <xdr:to>
      <xdr:col>7</xdr:col>
      <xdr:colOff>228240</xdr:colOff>
      <xdr:row>46</xdr:row>
      <xdr:rowOff>171956</xdr:rowOff>
    </xdr:to>
    <xdr:pic>
      <xdr:nvPicPr>
        <xdr:cNvPr id="70" name="図 69"/>
        <xdr:cNvPicPr>
          <a:picLocks noChangeAspect="1"/>
        </xdr:cNvPicPr>
      </xdr:nvPicPr>
      <xdr:blipFill>
        <a:blip xmlns:r="http://schemas.openxmlformats.org/officeDocument/2006/relationships" r:embed="rId13" cstate="print"/>
        <a:stretch>
          <a:fillRect/>
        </a:stretch>
      </xdr:blipFill>
      <xdr:spPr>
        <a:xfrm>
          <a:off x="3419475" y="7762875"/>
          <a:ext cx="237765" cy="1438781"/>
        </a:xfrm>
        <a:prstGeom prst="rect">
          <a:avLst/>
        </a:prstGeom>
      </xdr:spPr>
    </xdr:pic>
    <xdr:clientData/>
  </xdr:twoCellAnchor>
  <xdr:twoCellAnchor editAs="oneCell">
    <xdr:from>
      <xdr:col>1</xdr:col>
      <xdr:colOff>38100</xdr:colOff>
      <xdr:row>50</xdr:row>
      <xdr:rowOff>104775</xdr:rowOff>
    </xdr:from>
    <xdr:to>
      <xdr:col>2</xdr:col>
      <xdr:colOff>113940</xdr:colOff>
      <xdr:row>57</xdr:row>
      <xdr:rowOff>171956</xdr:rowOff>
    </xdr:to>
    <xdr:pic>
      <xdr:nvPicPr>
        <xdr:cNvPr id="71" name="図 70"/>
        <xdr:cNvPicPr>
          <a:picLocks noChangeAspect="1"/>
        </xdr:cNvPicPr>
      </xdr:nvPicPr>
      <xdr:blipFill>
        <a:blip xmlns:r="http://schemas.openxmlformats.org/officeDocument/2006/relationships" r:embed="rId13" cstate="print"/>
        <a:stretch>
          <a:fillRect/>
        </a:stretch>
      </xdr:blipFill>
      <xdr:spPr>
        <a:xfrm>
          <a:off x="95250" y="9934575"/>
          <a:ext cx="237765" cy="1438781"/>
        </a:xfrm>
        <a:prstGeom prst="rect">
          <a:avLst/>
        </a:prstGeom>
      </xdr:spPr>
    </xdr:pic>
    <xdr:clientData/>
  </xdr:twoCellAnchor>
  <xdr:twoCellAnchor editAs="oneCell">
    <xdr:from>
      <xdr:col>7</xdr:col>
      <xdr:colOff>0</xdr:colOff>
      <xdr:row>50</xdr:row>
      <xdr:rowOff>114300</xdr:rowOff>
    </xdr:from>
    <xdr:to>
      <xdr:col>7</xdr:col>
      <xdr:colOff>237765</xdr:colOff>
      <xdr:row>57</xdr:row>
      <xdr:rowOff>181481</xdr:rowOff>
    </xdr:to>
    <xdr:pic>
      <xdr:nvPicPr>
        <xdr:cNvPr id="72" name="図 71"/>
        <xdr:cNvPicPr>
          <a:picLocks noChangeAspect="1"/>
        </xdr:cNvPicPr>
      </xdr:nvPicPr>
      <xdr:blipFill>
        <a:blip xmlns:r="http://schemas.openxmlformats.org/officeDocument/2006/relationships" r:embed="rId13" cstate="print"/>
        <a:stretch>
          <a:fillRect/>
        </a:stretch>
      </xdr:blipFill>
      <xdr:spPr>
        <a:xfrm>
          <a:off x="3429000" y="9944100"/>
          <a:ext cx="237765" cy="1438781"/>
        </a:xfrm>
        <a:prstGeom prst="rect">
          <a:avLst/>
        </a:prstGeom>
      </xdr:spPr>
    </xdr:pic>
    <xdr:clientData/>
  </xdr:twoCellAnchor>
  <xdr:twoCellAnchor editAs="oneCell">
    <xdr:from>
      <xdr:col>10</xdr:col>
      <xdr:colOff>1076325</xdr:colOff>
      <xdr:row>50</xdr:row>
      <xdr:rowOff>114300</xdr:rowOff>
    </xdr:from>
    <xdr:to>
      <xdr:col>11</xdr:col>
      <xdr:colOff>209190</xdr:colOff>
      <xdr:row>57</xdr:row>
      <xdr:rowOff>181481</xdr:rowOff>
    </xdr:to>
    <xdr:pic>
      <xdr:nvPicPr>
        <xdr:cNvPr id="73" name="図 72"/>
        <xdr:cNvPicPr>
          <a:picLocks noChangeAspect="1"/>
        </xdr:cNvPicPr>
      </xdr:nvPicPr>
      <xdr:blipFill>
        <a:blip xmlns:r="http://schemas.openxmlformats.org/officeDocument/2006/relationships" r:embed="rId13" cstate="print"/>
        <a:stretch>
          <a:fillRect/>
        </a:stretch>
      </xdr:blipFill>
      <xdr:spPr>
        <a:xfrm>
          <a:off x="6762750" y="9944100"/>
          <a:ext cx="237765" cy="143878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lgn="ctr">
              <a:solidFill>
                <a:srgbClr val="000000"/>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lgn="ctr">
              <a:solidFill>
                <a:srgbClr val="000000"/>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0.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8</xdr:col>
      <xdr:colOff>457200</xdr:colOff>
      <xdr:row>57</xdr:row>
      <xdr:rowOff>0</xdr:rowOff>
    </xdr:from>
    <xdr:to>
      <xdr:col>8</xdr:col>
      <xdr:colOff>542925</xdr:colOff>
      <xdr:row>58</xdr:row>
      <xdr:rowOff>19050</xdr:rowOff>
    </xdr:to>
    <xdr:sp macro="" textlink="">
      <xdr:nvSpPr>
        <xdr:cNvPr id="34614" name="Text Box 278"/>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457200</xdr:colOff>
      <xdr:row>93</xdr:row>
      <xdr:rowOff>0</xdr:rowOff>
    </xdr:from>
    <xdr:to>
      <xdr:col>8</xdr:col>
      <xdr:colOff>542925</xdr:colOff>
      <xdr:row>93</xdr:row>
      <xdr:rowOff>200025</xdr:rowOff>
    </xdr:to>
    <xdr:sp macro="" textlink="">
      <xdr:nvSpPr>
        <xdr:cNvPr id="5075247" name="Text Box 337"/>
        <xdr:cNvSpPr txBox="1">
          <a:spLocks noChangeArrowheads="1"/>
        </xdr:cNvSpPr>
      </xdr:nvSpPr>
      <xdr:spPr bwMode="auto">
        <a:xfrm>
          <a:off x="5448300" y="21316950"/>
          <a:ext cx="857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9</xdr:col>
      <xdr:colOff>457200</xdr:colOff>
      <xdr:row>93</xdr:row>
      <xdr:rowOff>0</xdr:rowOff>
    </xdr:from>
    <xdr:to>
      <xdr:col>9</xdr:col>
      <xdr:colOff>542925</xdr:colOff>
      <xdr:row>93</xdr:row>
      <xdr:rowOff>200025</xdr:rowOff>
    </xdr:to>
    <xdr:sp macro="" textlink="">
      <xdr:nvSpPr>
        <xdr:cNvPr id="5075248" name="Text Box 338"/>
        <xdr:cNvSpPr txBox="1">
          <a:spLocks noChangeArrowheads="1"/>
        </xdr:cNvSpPr>
      </xdr:nvSpPr>
      <xdr:spPr bwMode="auto">
        <a:xfrm>
          <a:off x="6334125" y="21316950"/>
          <a:ext cx="857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8</xdr:col>
      <xdr:colOff>457200</xdr:colOff>
      <xdr:row>35</xdr:row>
      <xdr:rowOff>0</xdr:rowOff>
    </xdr:from>
    <xdr:to>
      <xdr:col>8</xdr:col>
      <xdr:colOff>542925</xdr:colOff>
      <xdr:row>35</xdr:row>
      <xdr:rowOff>200025</xdr:rowOff>
    </xdr:to>
    <xdr:sp macro="" textlink="">
      <xdr:nvSpPr>
        <xdr:cNvPr id="5075249" name="Text Box 340"/>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9</xdr:col>
      <xdr:colOff>457200</xdr:colOff>
      <xdr:row>35</xdr:row>
      <xdr:rowOff>0</xdr:rowOff>
    </xdr:from>
    <xdr:to>
      <xdr:col>9</xdr:col>
      <xdr:colOff>542925</xdr:colOff>
      <xdr:row>35</xdr:row>
      <xdr:rowOff>200025</xdr:rowOff>
    </xdr:to>
    <xdr:sp macro="" textlink="">
      <xdr:nvSpPr>
        <xdr:cNvPr id="5075250" name="Text Box 341"/>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133350</xdr:colOff>
      <xdr:row>23</xdr:row>
      <xdr:rowOff>0</xdr:rowOff>
    </xdr:from>
    <xdr:to>
      <xdr:col>14</xdr:col>
      <xdr:colOff>133350</xdr:colOff>
      <xdr:row>23</xdr:row>
      <xdr:rowOff>0</xdr:rowOff>
    </xdr:to>
    <xdr:sp macro="" textlink="">
      <xdr:nvSpPr>
        <xdr:cNvPr id="2" name="Rectangle 1"/>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3" name="Rectangle 2"/>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9" name="Rectangle 8"/>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0" name="Rectangle 9"/>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6" name="Rectangle 15"/>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7" name="Rectangle 16"/>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23" name="Rectangle 22"/>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24" name="Rectangle 23"/>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30" name="Rectangle 29"/>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31" name="Rectangle 30"/>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37" name="Rectangle 36"/>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38" name="Rectangle 37"/>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44" name="Rectangle 43"/>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45" name="Rectangle 44"/>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51" name="Rectangle 50"/>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52" name="Rectangle 51"/>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58" name="Rectangle 57"/>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59" name="Rectangle 58"/>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23</xdr:row>
      <xdr:rowOff>0</xdr:rowOff>
    </xdr:from>
    <xdr:to>
      <xdr:col>14</xdr:col>
      <xdr:colOff>133350</xdr:colOff>
      <xdr:row>23</xdr:row>
      <xdr:rowOff>0</xdr:rowOff>
    </xdr:to>
    <xdr:sp macro="" textlink="">
      <xdr:nvSpPr>
        <xdr:cNvPr id="65" name="Rectangle 64"/>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66" name="Rectangle 65"/>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67" name="Rectangle 66"/>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14</xdr:col>
      <xdr:colOff>133350</xdr:colOff>
      <xdr:row>23</xdr:row>
      <xdr:rowOff>0</xdr:rowOff>
    </xdr:from>
    <xdr:to>
      <xdr:col>14</xdr:col>
      <xdr:colOff>133350</xdr:colOff>
      <xdr:row>23</xdr:row>
      <xdr:rowOff>0</xdr:rowOff>
    </xdr:to>
    <xdr:sp macro="" textlink="">
      <xdr:nvSpPr>
        <xdr:cNvPr id="68" name="Rectangle 67"/>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69" name="Rectangle 68"/>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75" name="Rectangle 74"/>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76" name="Rectangle 75"/>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82" name="Rectangle 81"/>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83" name="Rectangle 82"/>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89" name="Rectangle 89"/>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90" name="Rectangle 90"/>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91"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92"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93"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94"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95"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96" name="Rectangle 96"/>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97" name="Rectangle 97"/>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98"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99"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0"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1"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02"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03" name="Rectangle 103"/>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04" name="Rectangle 104"/>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05"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06"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7"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8"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09"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10" name="Rectangle 110"/>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11" name="Rectangle 111"/>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12"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13"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14"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15"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16"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17" name="Rectangle 121"/>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18" name="Rectangle 122"/>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19"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20"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1"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2"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23"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24" name="Rectangle 128"/>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25" name="Rectangle 129"/>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26"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27"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8"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9"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30"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12</xdr:col>
      <xdr:colOff>0</xdr:colOff>
      <xdr:row>23</xdr:row>
      <xdr:rowOff>0</xdr:rowOff>
    </xdr:from>
    <xdr:to>
      <xdr:col>14</xdr:col>
      <xdr:colOff>133350</xdr:colOff>
      <xdr:row>23</xdr:row>
      <xdr:rowOff>0</xdr:rowOff>
    </xdr:to>
    <xdr:sp macro="" textlink="">
      <xdr:nvSpPr>
        <xdr:cNvPr id="131" name="Rectangle 136"/>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32" name="Rectangle 137"/>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33" name="Rectangle 138"/>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8</xdr:col>
      <xdr:colOff>533400</xdr:colOff>
      <xdr:row>14</xdr:row>
      <xdr:rowOff>9525</xdr:rowOff>
    </xdr:from>
    <xdr:to>
      <xdr:col>13</xdr:col>
      <xdr:colOff>76200</xdr:colOff>
      <xdr:row>17</xdr:row>
      <xdr:rowOff>0</xdr:rowOff>
    </xdr:to>
    <xdr:graphicFrame macro="">
      <xdr:nvGraphicFramePr>
        <xdr:cNvPr id="134"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5</xdr:col>
      <xdr:colOff>371474</xdr:colOff>
      <xdr:row>103</xdr:row>
      <xdr:rowOff>94129</xdr:rowOff>
    </xdr:from>
    <xdr:to>
      <xdr:col>7</xdr:col>
      <xdr:colOff>1680</xdr:colOff>
      <xdr:row>105</xdr:row>
      <xdr:rowOff>42022</xdr:rowOff>
    </xdr:to>
    <xdr:sp macro="" textlink="">
      <xdr:nvSpPr>
        <xdr:cNvPr id="136" name="Rectangle 171"/>
        <xdr:cNvSpPr>
          <a:spLocks noChangeArrowheads="1"/>
        </xdr:cNvSpPr>
      </xdr:nvSpPr>
      <xdr:spPr bwMode="auto">
        <a:xfrm>
          <a:off x="3923739" y="17463247"/>
          <a:ext cx="571500" cy="205628"/>
        </a:xfrm>
        <a:prstGeom prst="rect">
          <a:avLst/>
        </a:prstGeom>
        <a:solidFill>
          <a:srgbClr val="CCFFFF"/>
        </a:solidFill>
        <a:ln w="19050" algn="ctr">
          <a:solidFill>
            <a:srgbClr val="000000"/>
          </a:solidFill>
          <a:miter lim="800000"/>
          <a:headEnd/>
          <a:tailEnd/>
        </a:ln>
      </xdr:spPr>
    </xdr:sp>
    <xdr:clientData/>
  </xdr:twoCellAnchor>
  <xdr:twoCellAnchor>
    <xdr:from>
      <xdr:col>8</xdr:col>
      <xdr:colOff>533400</xdr:colOff>
      <xdr:row>17</xdr:row>
      <xdr:rowOff>9525</xdr:rowOff>
    </xdr:from>
    <xdr:to>
      <xdr:col>13</xdr:col>
      <xdr:colOff>76200</xdr:colOff>
      <xdr:row>20</xdr:row>
      <xdr:rowOff>0</xdr:rowOff>
    </xdr:to>
    <xdr:graphicFrame macro="">
      <xdr:nvGraphicFramePr>
        <xdr:cNvPr id="137" name="グラフ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8</xdr:col>
      <xdr:colOff>533400</xdr:colOff>
      <xdr:row>20</xdr:row>
      <xdr:rowOff>9525</xdr:rowOff>
    </xdr:from>
    <xdr:to>
      <xdr:col>13</xdr:col>
      <xdr:colOff>76200</xdr:colOff>
      <xdr:row>23</xdr:row>
      <xdr:rowOff>0</xdr:rowOff>
    </xdr:to>
    <xdr:graphicFrame macro="">
      <xdr:nvGraphicFramePr>
        <xdr:cNvPr id="138" name="グラフ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xdr:col>
      <xdr:colOff>795617</xdr:colOff>
      <xdr:row>104</xdr:row>
      <xdr:rowOff>0</xdr:rowOff>
    </xdr:from>
    <xdr:to>
      <xdr:col>3</xdr:col>
      <xdr:colOff>146237</xdr:colOff>
      <xdr:row>105</xdr:row>
      <xdr:rowOff>51547</xdr:rowOff>
    </xdr:to>
    <xdr:sp macro="" textlink="">
      <xdr:nvSpPr>
        <xdr:cNvPr id="139" name="Rectangle 170"/>
        <xdr:cNvSpPr>
          <a:spLocks noChangeArrowheads="1"/>
        </xdr:cNvSpPr>
      </xdr:nvSpPr>
      <xdr:spPr bwMode="auto">
        <a:xfrm>
          <a:off x="1221441" y="17469971"/>
          <a:ext cx="717737" cy="208429"/>
        </a:xfrm>
        <a:prstGeom prst="rect">
          <a:avLst/>
        </a:prstGeom>
        <a:solidFill>
          <a:srgbClr val="CCFFFF"/>
        </a:solidFill>
        <a:ln w="19050" algn="ctr">
          <a:solidFill>
            <a:srgbClr val="00B0F0"/>
          </a:solidFill>
          <a:miter lim="800000"/>
          <a:headEnd/>
          <a:tailEnd/>
        </a:ln>
      </xdr:spPr>
    </xdr:sp>
    <xdr:clientData/>
  </xdr:twoCellAnchor>
  <xdr:twoCellAnchor>
    <xdr:from>
      <xdr:col>10</xdr:col>
      <xdr:colOff>809625</xdr:colOff>
      <xdr:row>1</xdr:row>
      <xdr:rowOff>57684</xdr:rowOff>
    </xdr:from>
    <xdr:to>
      <xdr:col>13</xdr:col>
      <xdr:colOff>152400</xdr:colOff>
      <xdr:row>6</xdr:row>
      <xdr:rowOff>0</xdr:rowOff>
    </xdr:to>
    <xdr:sp macro="" textlink="">
      <xdr:nvSpPr>
        <xdr:cNvPr id="141" name="テキスト ボックス 140"/>
        <xdr:cNvSpPr txBox="1"/>
      </xdr:nvSpPr>
      <xdr:spPr bwMode="auto">
        <a:xfrm>
          <a:off x="7629525" y="229134"/>
          <a:ext cx="1628775" cy="73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noAutofit/>
        </a:bodyPr>
        <a:lstStyle/>
        <a:p>
          <a:pPr algn="ctr">
            <a:lnSpc>
              <a:spcPts val="2500"/>
            </a:lnSpc>
          </a:pPr>
          <a:r>
            <a:rPr kumimoji="1" lang="ja-JP" altLang="en-US" sz="2000"/>
            <a:t>独自システム</a:t>
          </a:r>
          <a:endParaRPr kumimoji="1" lang="en-US" altLang="ja-JP" sz="2000"/>
        </a:p>
        <a:p>
          <a:pPr algn="ctr">
            <a:lnSpc>
              <a:spcPts val="2500"/>
            </a:lnSpc>
          </a:pPr>
          <a:r>
            <a:rPr kumimoji="1" lang="ja-JP" altLang="en-US" sz="2000"/>
            <a:t>評価結果</a:t>
          </a:r>
        </a:p>
      </xdr:txBody>
    </xdr:sp>
    <xdr:clientData/>
  </xdr:twoCellAnchor>
  <xdr:twoCellAnchor>
    <xdr:from>
      <xdr:col>10</xdr:col>
      <xdr:colOff>685800</xdr:colOff>
      <xdr:row>1</xdr:row>
      <xdr:rowOff>38100</xdr:rowOff>
    </xdr:from>
    <xdr:to>
      <xdr:col>10</xdr:col>
      <xdr:colOff>762000</xdr:colOff>
      <xdr:row>5</xdr:row>
      <xdr:rowOff>56883</xdr:rowOff>
    </xdr:to>
    <xdr:sp macro="" textlink="">
      <xdr:nvSpPr>
        <xdr:cNvPr id="142" name="正方形/長方形 141"/>
        <xdr:cNvSpPr/>
      </xdr:nvSpPr>
      <xdr:spPr bwMode="auto">
        <a:xfrm>
          <a:off x="7505700" y="209550"/>
          <a:ext cx="76200" cy="62838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200025</xdr:colOff>
      <xdr:row>1</xdr:row>
      <xdr:rowOff>38100</xdr:rowOff>
    </xdr:from>
    <xdr:to>
      <xdr:col>13</xdr:col>
      <xdr:colOff>276225</xdr:colOff>
      <xdr:row>5</xdr:row>
      <xdr:rowOff>56883</xdr:rowOff>
    </xdr:to>
    <xdr:sp macro="" textlink="">
      <xdr:nvSpPr>
        <xdr:cNvPr id="143" name="正方形/長方形 142"/>
        <xdr:cNvSpPr/>
      </xdr:nvSpPr>
      <xdr:spPr bwMode="auto">
        <a:xfrm>
          <a:off x="9305925" y="209550"/>
          <a:ext cx="76200" cy="62838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591998</xdr:colOff>
      <xdr:row>0</xdr:row>
      <xdr:rowOff>90206</xdr:rowOff>
    </xdr:from>
    <xdr:to>
      <xdr:col>10</xdr:col>
      <xdr:colOff>85725</xdr:colOff>
      <xdr:row>5</xdr:row>
      <xdr:rowOff>123263</xdr:rowOff>
    </xdr:to>
    <xdr:sp macro="" textlink="">
      <xdr:nvSpPr>
        <xdr:cNvPr id="144" name="Text Box 20"/>
        <xdr:cNvSpPr txBox="1">
          <a:spLocks noChangeArrowheads="1"/>
        </xdr:cNvSpPr>
      </xdr:nvSpPr>
      <xdr:spPr bwMode="auto">
        <a:xfrm>
          <a:off x="3087548" y="90206"/>
          <a:ext cx="3818077" cy="814107"/>
        </a:xfrm>
        <a:prstGeom prst="rect">
          <a:avLst/>
        </a:prstGeom>
        <a:noFill/>
        <a:ln>
          <a:noFill/>
        </a:ln>
        <a:extLst/>
      </xdr:spPr>
      <xdr:txBody>
        <a:bodyPr vertOverflow="clip" wrap="none" lIns="73152" tIns="45720" rIns="0" bIns="0" anchor="t" upright="1">
          <a:noAutofit/>
        </a:bodyPr>
        <a:lstStyle/>
        <a:p>
          <a:pPr algn="l" rtl="0">
            <a:defRPr sz="1000"/>
          </a:pPr>
          <a:r>
            <a:rPr lang="ja-JP" altLang="ja-JP" sz="4400" b="0" i="0" u="none" strike="noStrike" baseline="0">
              <a:solidFill>
                <a:srgbClr val="008000"/>
              </a:solidFill>
              <a:latin typeface="HGSｺﾞｼｯｸE" pitchFamily="50" charset="-128"/>
              <a:ea typeface="HGSｺﾞｼｯｸE" pitchFamily="50" charset="-128"/>
              <a:cs typeface="+mn-cs"/>
            </a:rPr>
            <a:t>京都</a:t>
          </a:r>
          <a:r>
            <a:rPr lang="ja-JP" altLang="en-US" sz="4400" b="0" i="0" u="none" strike="noStrike" baseline="0">
              <a:solidFill>
                <a:srgbClr val="008000"/>
              </a:solidFill>
              <a:latin typeface="HGSｺﾞｼｯｸE" pitchFamily="50" charset="-128"/>
              <a:ea typeface="HGSｺﾞｼｯｸE" pitchFamily="50" charset="-128"/>
              <a:cs typeface="+mn-cs"/>
            </a:rPr>
            <a:t> </a:t>
          </a:r>
          <a:r>
            <a:rPr lang="ja-JP" altLang="en-US" sz="4400" b="0" i="0" u="none" strike="noStrike" baseline="0">
              <a:solidFill>
                <a:srgbClr val="008000"/>
              </a:solidFill>
              <a:latin typeface="HGSｺﾞｼｯｸE" pitchFamily="50" charset="-128"/>
              <a:ea typeface="HGSｺﾞｼｯｸE" pitchFamily="50" charset="-128"/>
            </a:rPr>
            <a:t>戸建</a:t>
          </a:r>
          <a:r>
            <a:rPr lang="en-US" altLang="ja-JP" sz="4400" b="0" i="0" u="none" strike="noStrike" baseline="0">
              <a:solidFill>
                <a:srgbClr val="008000"/>
              </a:solidFill>
              <a:latin typeface="HGSｺﾞｼｯｸE" pitchFamily="50" charset="-128"/>
              <a:ea typeface="HGSｺﾞｼｯｸE" pitchFamily="50" charset="-128"/>
            </a:rPr>
            <a:t>-</a:t>
          </a:r>
          <a:r>
            <a:rPr lang="ja-JP" altLang="en-US" sz="4400" b="0" i="0" u="none" strike="noStrike" baseline="0">
              <a:solidFill>
                <a:srgbClr val="008000"/>
              </a:solidFill>
              <a:latin typeface="HGSｺﾞｼｯｸE" pitchFamily="50" charset="-128"/>
              <a:ea typeface="HGSｺﾞｼｯｸE" pitchFamily="50" charset="-128"/>
            </a:rPr>
            <a:t>新築</a:t>
          </a:r>
        </a:p>
      </xdr:txBody>
    </xdr:sp>
    <xdr:clientData/>
  </xdr:twoCellAnchor>
  <xdr:twoCellAnchor>
    <xdr:from>
      <xdr:col>1</xdr:col>
      <xdr:colOff>152400</xdr:colOff>
      <xdr:row>1</xdr:row>
      <xdr:rowOff>104775</xdr:rowOff>
    </xdr:from>
    <xdr:to>
      <xdr:col>4</xdr:col>
      <xdr:colOff>581025</xdr:colOff>
      <xdr:row>4</xdr:row>
      <xdr:rowOff>142875</xdr:rowOff>
    </xdr:to>
    <xdr:pic>
      <xdr:nvPicPr>
        <xdr:cNvPr id="145" name="図 97"/>
        <xdr:cNvPicPr>
          <a:picLocks noChangeAspect="1"/>
        </xdr:cNvPicPr>
      </xdr:nvPicPr>
      <xdr:blipFill>
        <a:blip xmlns:r="http://schemas.openxmlformats.org/officeDocument/2006/relationships" r:embed="rId94" cstate="print">
          <a:extLst>
            <a:ext uri="{28A0092B-C50C-407E-A947-70E740481C1C}">
              <a14:useLocalDpi xmlns:a14="http://schemas.microsoft.com/office/drawing/2010/main" xmlns="" val="0"/>
            </a:ext>
          </a:extLst>
        </a:blip>
        <a:srcRect/>
        <a:stretch>
          <a:fillRect/>
        </a:stretch>
      </xdr:blipFill>
      <xdr:spPr bwMode="auto">
        <a:xfrm>
          <a:off x="371475" y="276225"/>
          <a:ext cx="2705100"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14653</xdr:colOff>
      <xdr:row>4</xdr:row>
      <xdr:rowOff>234463</xdr:rowOff>
    </xdr:from>
    <xdr:to>
      <xdr:col>5</xdr:col>
      <xdr:colOff>688730</xdr:colOff>
      <xdr:row>7</xdr:row>
      <xdr:rowOff>0</xdr:rowOff>
    </xdr:to>
    <xdr:sp macro="" textlink="">
      <xdr:nvSpPr>
        <xdr:cNvPr id="2" name="テキスト ボックス 1"/>
        <xdr:cNvSpPr txBox="1"/>
      </xdr:nvSpPr>
      <xdr:spPr>
        <a:xfrm>
          <a:off x="700453" y="958363"/>
          <a:ext cx="6760552" cy="508487"/>
        </a:xfrm>
        <a:prstGeom prst="rect">
          <a:avLst/>
        </a:prstGeom>
        <a:solidFill>
          <a:schemeClr val="accent2">
            <a:lumMod val="40000"/>
            <a:lumOff val="60000"/>
            <a:alpha val="3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1600" u="none">
              <a:solidFill>
                <a:srgbClr val="FF0000"/>
              </a:solidFill>
            </a:rPr>
            <a:t>                                      </a:t>
          </a:r>
          <a:endParaRPr kumimoji="1" lang="ja-JP" altLang="en-US" sz="1600" u="dbl">
            <a:solidFill>
              <a:srgbClr val="FF0000"/>
            </a:solidFill>
          </a:endParaRPr>
        </a:p>
      </xdr:txBody>
    </xdr:sp>
    <xdr:clientData/>
  </xdr:twoCellAnchor>
  <xdr:twoCellAnchor>
    <xdr:from>
      <xdr:col>4</xdr:col>
      <xdr:colOff>1047750</xdr:colOff>
      <xdr:row>5</xdr:row>
      <xdr:rowOff>29307</xdr:rowOff>
    </xdr:from>
    <xdr:to>
      <xdr:col>4</xdr:col>
      <xdr:colOff>2571750</xdr:colOff>
      <xdr:row>6</xdr:row>
      <xdr:rowOff>212480</xdr:rowOff>
    </xdr:to>
    <xdr:sp macro="" textlink="">
      <xdr:nvSpPr>
        <xdr:cNvPr id="3" name="正方形/長方形 2"/>
        <xdr:cNvSpPr/>
      </xdr:nvSpPr>
      <xdr:spPr>
        <a:xfrm>
          <a:off x="4905375" y="1000857"/>
          <a:ext cx="1524000" cy="43082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　評価ソフト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版</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CASBEEkyoto_DH-NC_2015v1.0</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2015</a:t>
          </a:r>
          <a:r>
            <a:rPr lang="ja-JP" altLang="en-US" sz="1100" b="0" i="0" u="none" strike="noStrike" baseline="0">
              <a:solidFill>
                <a:srgbClr val="000000"/>
              </a:solidFill>
              <a:latin typeface="ＭＳ Ｐゴシック"/>
              <a:ea typeface="+mn-ea"/>
            </a:rPr>
            <a:t>年 </a:t>
          </a: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発行　　京都市都市計画局建築指導部建築審査課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京都市都市計画局建築指導部建築審査課</a:t>
          </a:r>
          <a:endParaRPr lang="en-US" altLang="ja-JP" sz="1100" b="0" i="0" u="none" strike="noStrike" baseline="0">
            <a:solidFill>
              <a:srgbClr val="000000"/>
            </a:solidFill>
            <a:latin typeface="ＭＳ Ｐゴシック"/>
            <a:ea typeface="+mn-ea"/>
          </a:endParaRPr>
        </a:p>
        <a:p>
          <a:pPr algn="l" rtl="0">
            <a:lnSpc>
              <a:spcPts val="1300"/>
            </a:lnSpc>
            <a:defRPr sz="1000"/>
          </a:pP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604-8571</a:t>
          </a:r>
          <a:r>
            <a:rPr lang="ja-JP" altLang="en-US" sz="1100" b="0" i="0" u="none" strike="noStrike" baseline="0">
              <a:solidFill>
                <a:srgbClr val="000000"/>
              </a:solidFill>
              <a:latin typeface="ＭＳ Ｐゴシック"/>
              <a:ea typeface="+mn-ea"/>
            </a:rPr>
            <a:t>　京都府京都市中京区寺町通御池上ル上本能寺前町４８８</a:t>
          </a:r>
        </a:p>
        <a:p>
          <a:pPr algn="l" rtl="0">
            <a:lnSpc>
              <a:spcPts val="1300"/>
            </a:lnSpc>
            <a:defRPr sz="1000"/>
          </a:pP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ＴＥＬ　　</a:t>
          </a:r>
          <a:r>
            <a:rPr lang="en-US" altLang="ja-JP" sz="1100" b="0" i="0" u="none" strike="noStrike" baseline="0">
              <a:solidFill>
                <a:srgbClr val="000000"/>
              </a:solidFill>
              <a:latin typeface="ＭＳ Ｐゴシック"/>
              <a:ea typeface="+mn-ea"/>
            </a:rPr>
            <a:t>075-222-3616</a:t>
          </a:r>
          <a:r>
            <a:rPr lang="ja-JP" altLang="en-US" sz="1100" b="0" i="0" u="none" strike="noStrike" baseline="0">
              <a:solidFill>
                <a:srgbClr val="000000"/>
              </a:solidFill>
              <a:latin typeface="ＭＳ Ｐゴシック"/>
              <a:ea typeface="+mn-ea"/>
            </a:rPr>
            <a:t>　　ＦＡＸ　　</a:t>
          </a:r>
          <a:r>
            <a:rPr lang="en-US" altLang="ja-JP" sz="1100" b="0" i="0" u="none" strike="noStrike" baseline="0">
              <a:solidFill>
                <a:srgbClr val="000000"/>
              </a:solidFill>
              <a:latin typeface="ＭＳ Ｐゴシック"/>
              <a:ea typeface="+mn-ea"/>
            </a:rPr>
            <a:t>075-212-3657</a:t>
          </a:r>
        </a:p>
        <a:p>
          <a:pPr algn="l" rtl="0">
            <a:lnSpc>
              <a:spcPts val="1300"/>
            </a:lnSpc>
            <a:defRPr sz="1000"/>
          </a:pPr>
          <a:r>
            <a:rPr lang="en-US" altLang="ja-JP" sz="1100" b="0" i="0" u="none" strike="noStrike" baseline="0">
              <a:solidFill>
                <a:srgbClr val="000000"/>
              </a:solidFill>
              <a:latin typeface="ＭＳ Ｐゴシック"/>
              <a:ea typeface="+mn-ea"/>
            </a:rPr>
            <a:t> 	</a:t>
          </a:r>
          <a:r>
            <a:rPr lang="en-US" altLang="ja-JP" sz="1100" b="0" i="0" baseline="0">
              <a:latin typeface="+mj-ea"/>
              <a:ea typeface="+mj-ea"/>
              <a:cs typeface="+mn-cs"/>
            </a:rPr>
            <a:t>URL  http://www.city.kyoto.lg.jp/tokei/soshiki/9-3-2-0-0.html</a:t>
          </a:r>
          <a:r>
            <a:rPr lang="en-US" altLang="ja-JP" sz="1100" b="0" i="0" u="none" strike="noStrike" baseline="0">
              <a:solidFill>
                <a:srgbClr val="000000"/>
              </a:solidFill>
              <a:latin typeface="ＭＳ Ｐゴシック"/>
              <a:ea typeface="+mn-ea"/>
            </a:rPr>
            <a:t>    </a:t>
          </a:r>
        </a:p>
        <a:p>
          <a:pPr algn="l" rtl="0">
            <a:lnSpc>
              <a:spcPts val="1300"/>
            </a:lnSpc>
            <a:defRPr sz="1000"/>
          </a:pP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戸建（新築）評価ソフト」は、Microsoft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tem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U80"/>
  <sheetViews>
    <sheetView showGridLines="0" tabSelected="1" zoomScaleNormal="100" workbookViewId="0">
      <selection activeCell="D7" sqref="D7"/>
    </sheetView>
  </sheetViews>
  <sheetFormatPr defaultColWidth="0" defaultRowHeight="0" customHeight="1" zeroHeight="1"/>
  <cols>
    <col min="1" max="1" width="1.75" style="21" customWidth="1"/>
    <col min="2" max="2" width="26.125" style="21" customWidth="1"/>
    <col min="3" max="3" width="19.25" style="21" customWidth="1"/>
    <col min="4" max="4" width="18.375" style="21" customWidth="1"/>
    <col min="5" max="5" width="17.5" style="21" customWidth="1"/>
    <col min="6" max="6" width="3" style="21" customWidth="1"/>
    <col min="7" max="7" width="19.25" style="21" hidden="1" customWidth="1"/>
    <col min="8" max="8" width="5.625" style="21" hidden="1" customWidth="1"/>
    <col min="9" max="9" width="26.75" style="21" hidden="1" customWidth="1"/>
    <col min="10" max="10" width="29.5" style="21" hidden="1" customWidth="1"/>
    <col min="11" max="11" width="1.25" style="21" hidden="1" customWidth="1"/>
    <col min="12" max="12" width="1.625" style="11" hidden="1" customWidth="1"/>
    <col min="13" max="13" width="8" style="324" hidden="1" customWidth="1"/>
    <col min="14" max="14" width="11.375" style="324" hidden="1" customWidth="1"/>
    <col min="15" max="22" width="9.125" style="11" hidden="1" customWidth="1"/>
    <col min="23" max="250" width="8.875" style="11" hidden="1" customWidth="1"/>
    <col min="251" max="255" width="9" style="11" hidden="1" customWidth="1"/>
    <col min="256" max="16384" width="5.125" style="11" hidden="1"/>
  </cols>
  <sheetData>
    <row r="1" spans="1:17" ht="14.25" customHeight="1">
      <c r="A1" s="9"/>
      <c r="B1" s="25"/>
      <c r="C1" s="9"/>
      <c r="D1" s="9"/>
      <c r="E1" s="9"/>
      <c r="F1" s="9"/>
      <c r="G1" s="9"/>
      <c r="H1" s="9"/>
      <c r="I1" s="9"/>
      <c r="J1" s="10"/>
      <c r="K1" s="9"/>
      <c r="M1" s="13"/>
      <c r="N1" s="13"/>
      <c r="O1" s="13"/>
    </row>
    <row r="2" spans="1:17" ht="14.25" customHeight="1">
      <c r="A2" s="9"/>
      <c r="B2" s="863"/>
      <c r="C2" s="863"/>
      <c r="D2" s="863"/>
      <c r="E2" s="864"/>
      <c r="F2" s="9"/>
      <c r="G2" s="858"/>
      <c r="H2" s="859"/>
      <c r="I2" s="11"/>
      <c r="J2" s="11"/>
      <c r="K2" s="9"/>
      <c r="O2" s="324"/>
    </row>
    <row r="3" spans="1:17" ht="32.25" customHeight="1">
      <c r="A3" s="9"/>
      <c r="B3" s="865"/>
      <c r="C3" s="865"/>
      <c r="D3" s="865"/>
      <c r="E3" s="937"/>
      <c r="F3" s="9"/>
      <c r="G3" s="858"/>
      <c r="H3" s="859"/>
      <c r="I3" s="11"/>
      <c r="J3" s="11"/>
      <c r="K3" s="9"/>
      <c r="O3" s="324"/>
    </row>
    <row r="4" spans="1:17" s="12" customFormat="1" ht="30" customHeight="1">
      <c r="A4" s="7"/>
      <c r="B4" s="942" t="s">
        <v>1234</v>
      </c>
      <c r="C4" s="943"/>
      <c r="D4" s="943"/>
      <c r="E4" s="944"/>
      <c r="F4" s="9"/>
      <c r="G4" s="858"/>
      <c r="H4" s="859"/>
      <c r="I4" s="11"/>
      <c r="J4"/>
      <c r="K4" s="9"/>
      <c r="L4" s="11"/>
      <c r="M4" s="397"/>
      <c r="O4" s="397"/>
    </row>
    <row r="5" spans="1:17" s="12" customFormat="1" ht="14.25" customHeight="1">
      <c r="A5" s="7"/>
      <c r="B5" s="941" t="s">
        <v>171</v>
      </c>
      <c r="C5" s="869" t="s">
        <v>1466</v>
      </c>
      <c r="D5" s="868"/>
      <c r="E5" s="866"/>
      <c r="F5" s="9"/>
      <c r="G5" s="858"/>
      <c r="H5" s="859"/>
      <c r="I5" s="11"/>
      <c r="J5" s="11"/>
      <c r="K5" s="9"/>
      <c r="L5" s="11"/>
      <c r="M5" s="397"/>
      <c r="N5" s="397"/>
      <c r="O5" s="397"/>
    </row>
    <row r="6" spans="1:17" s="12" customFormat="1" ht="14.25" customHeight="1">
      <c r="A6" s="7"/>
      <c r="B6" s="867" t="s">
        <v>90</v>
      </c>
      <c r="C6" s="868" t="s">
        <v>1235</v>
      </c>
      <c r="D6" s="869"/>
      <c r="E6" s="866"/>
      <c r="F6" s="9"/>
      <c r="G6" s="858"/>
      <c r="H6" s="859"/>
      <c r="I6" s="11"/>
      <c r="J6" s="11"/>
      <c r="K6" s="9"/>
      <c r="L6" s="11"/>
      <c r="M6" s="397"/>
      <c r="N6" s="397"/>
      <c r="O6" s="397"/>
    </row>
    <row r="7" spans="1:17" s="12" customFormat="1" ht="9" customHeight="1" thickBot="1">
      <c r="A7" s="7"/>
      <c r="B7" s="54"/>
      <c r="C7" s="54"/>
      <c r="D7" s="54"/>
      <c r="E7" s="54"/>
      <c r="F7" s="9"/>
      <c r="G7" s="858"/>
      <c r="H7" s="859"/>
      <c r="I7" s="11"/>
      <c r="J7" s="11"/>
      <c r="K7" s="54"/>
      <c r="L7" s="11"/>
      <c r="M7" s="397"/>
      <c r="N7" s="397"/>
      <c r="O7" s="397"/>
    </row>
    <row r="8" spans="1:17" s="12" customFormat="1" ht="17.25" customHeight="1">
      <c r="A8" s="7"/>
      <c r="B8" s="1011" t="s">
        <v>447</v>
      </c>
      <c r="C8" s="1012"/>
      <c r="D8" s="1012"/>
      <c r="E8" s="1013"/>
      <c r="F8" s="9"/>
      <c r="G8" s="99" t="s">
        <v>197</v>
      </c>
      <c r="H8" s="100"/>
      <c r="I8" s="101"/>
      <c r="J8" s="102"/>
      <c r="K8" s="9"/>
      <c r="L8" s="11"/>
      <c r="M8" s="398"/>
      <c r="N8" s="399" t="s">
        <v>457</v>
      </c>
      <c r="O8" s="398" t="s">
        <v>830</v>
      </c>
    </row>
    <row r="9" spans="1:17" s="12" customFormat="1" ht="17.25" customHeight="1" thickBot="1">
      <c r="A9" s="7"/>
      <c r="B9" s="103" t="s">
        <v>49</v>
      </c>
      <c r="C9" s="104"/>
      <c r="D9" s="105"/>
      <c r="E9" s="105"/>
      <c r="F9" s="106"/>
      <c r="G9" s="107" t="s">
        <v>782</v>
      </c>
      <c r="H9" s="108" t="s">
        <v>61</v>
      </c>
      <c r="I9" s="108" t="s">
        <v>62</v>
      </c>
      <c r="J9" s="109"/>
      <c r="K9" s="9"/>
      <c r="L9" s="11"/>
      <c r="M9" s="400" t="s">
        <v>472</v>
      </c>
      <c r="N9" s="1331">
        <v>1</v>
      </c>
      <c r="O9" s="400"/>
      <c r="P9" s="1332">
        <f>IF($H$10=M9,$I$10,0)+IF($H$12=M9,$I$12,0)+IF($H$13=M9,$I$13,0)+IF($H$14=M9,$I$14,0)</f>
        <v>0</v>
      </c>
      <c r="Q9" s="12" t="s">
        <v>73</v>
      </c>
    </row>
    <row r="10" spans="1:17" s="12" customFormat="1" ht="17.25" customHeight="1">
      <c r="A10" s="9"/>
      <c r="B10" s="952" t="s">
        <v>63</v>
      </c>
      <c r="C10" s="1919"/>
      <c r="D10" s="870"/>
      <c r="E10" s="112"/>
      <c r="F10" s="110"/>
      <c r="G10" s="111" t="s">
        <v>471</v>
      </c>
      <c r="H10" s="744" t="s">
        <v>472</v>
      </c>
      <c r="I10" s="313">
        <f>C22</f>
        <v>0</v>
      </c>
      <c r="J10" s="112" t="s">
        <v>65</v>
      </c>
      <c r="K10" s="9"/>
      <c r="L10" s="11"/>
      <c r="M10" s="466" t="s">
        <v>64</v>
      </c>
      <c r="N10" s="467">
        <f>IF($H$10=M10,$I$10,0)+IF($H$12=M10,$I$12,0)+IF($H$13=M10,$I$13,0)+IF($H$14=M10,$I$14,0)</f>
        <v>0</v>
      </c>
      <c r="O10" s="400"/>
    </row>
    <row r="11" spans="1:17" s="12" customFormat="1" ht="14.25" hidden="1" customHeight="1">
      <c r="A11" s="9"/>
      <c r="B11" s="953" t="s">
        <v>470</v>
      </c>
      <c r="C11" s="1920"/>
      <c r="D11" s="857"/>
      <c r="E11" s="116"/>
      <c r="F11" s="110"/>
      <c r="G11" s="172"/>
      <c r="H11" s="744"/>
      <c r="I11" s="313"/>
      <c r="J11" s="112"/>
      <c r="K11" s="9"/>
      <c r="L11" s="11"/>
      <c r="M11" s="466"/>
      <c r="N11" s="467"/>
      <c r="O11" s="400"/>
    </row>
    <row r="12" spans="1:17" ht="17.25" customHeight="1">
      <c r="A12" s="9"/>
      <c r="B12" s="953" t="s">
        <v>106</v>
      </c>
      <c r="C12" s="1921"/>
      <c r="D12" s="857"/>
      <c r="E12" s="945"/>
      <c r="F12" s="113"/>
      <c r="G12" s="172"/>
      <c r="H12" s="744"/>
      <c r="I12" s="313"/>
      <c r="J12" s="112" t="s">
        <v>65</v>
      </c>
      <c r="K12" s="9"/>
      <c r="M12" s="466" t="s">
        <v>66</v>
      </c>
      <c r="N12" s="467">
        <f t="shared" ref="N12:N19" si="0">IF($H$10=M12,$I$10,0)+IF($H$12=M12,$I$12,0)+IF($H$13=M12,$I$13,0)+IF($H$14=M12,$I$14,0)</f>
        <v>0</v>
      </c>
      <c r="O12" s="400"/>
    </row>
    <row r="13" spans="1:17" ht="17.25" customHeight="1">
      <c r="A13" s="9"/>
      <c r="B13" s="953" t="s">
        <v>468</v>
      </c>
      <c r="C13" s="2254" t="s">
        <v>1464</v>
      </c>
      <c r="D13" s="2255"/>
      <c r="E13" s="2263"/>
      <c r="F13" s="114"/>
      <c r="G13" s="172"/>
      <c r="H13" s="744"/>
      <c r="I13" s="313"/>
      <c r="J13" s="112" t="s">
        <v>65</v>
      </c>
      <c r="K13" s="9"/>
      <c r="M13" s="466" t="s">
        <v>67</v>
      </c>
      <c r="N13" s="467">
        <f t="shared" si="0"/>
        <v>0</v>
      </c>
      <c r="O13" s="400"/>
    </row>
    <row r="14" spans="1:17" s="13" customFormat="1" ht="17.25" customHeight="1">
      <c r="A14" s="9"/>
      <c r="B14" s="953" t="s">
        <v>290</v>
      </c>
      <c r="C14" s="2254"/>
      <c r="D14" s="2256"/>
      <c r="E14" s="2265"/>
      <c r="F14" s="115"/>
      <c r="G14" s="172"/>
      <c r="H14" s="744"/>
      <c r="I14" s="313"/>
      <c r="J14" s="112" t="s">
        <v>65</v>
      </c>
      <c r="K14" s="9"/>
      <c r="L14" s="11"/>
      <c r="M14" s="466" t="s">
        <v>54</v>
      </c>
      <c r="N14" s="467">
        <f t="shared" si="0"/>
        <v>0</v>
      </c>
      <c r="O14" s="400"/>
    </row>
    <row r="15" spans="1:17" ht="17.25" customHeight="1" thickBot="1">
      <c r="A15" s="9"/>
      <c r="B15" s="953" t="s">
        <v>291</v>
      </c>
      <c r="C15" s="861">
        <v>6</v>
      </c>
      <c r="D15" s="857" t="s">
        <v>626</v>
      </c>
      <c r="E15" s="2265"/>
      <c r="F15" s="115"/>
      <c r="G15" s="468" t="s">
        <v>0</v>
      </c>
      <c r="H15" s="469" t="str">
        <f>H10</f>
        <v>戸建住宅</v>
      </c>
      <c r="I15" s="470">
        <f>IF(H10="",0,I10)+IF(H12="",0,I12)+IF(H13="",0,I13)+IF(H14="",0,I14)</f>
        <v>0</v>
      </c>
      <c r="J15" s="471" t="s">
        <v>1</v>
      </c>
      <c r="K15" s="115"/>
      <c r="M15" s="466" t="s">
        <v>840</v>
      </c>
      <c r="N15" s="467">
        <f t="shared" si="0"/>
        <v>0</v>
      </c>
      <c r="O15" s="400">
        <f>N15*I22</f>
        <v>0</v>
      </c>
    </row>
    <row r="16" spans="1:17" ht="17.25" hidden="1" customHeight="1" thickBot="1">
      <c r="A16" s="9"/>
      <c r="B16" s="953" t="s">
        <v>469</v>
      </c>
      <c r="C16" s="724"/>
      <c r="D16" s="857"/>
      <c r="E16" s="2264"/>
      <c r="F16" s="115"/>
      <c r="K16" s="14"/>
      <c r="M16" s="466" t="s">
        <v>196</v>
      </c>
      <c r="N16" s="467">
        <f t="shared" si="0"/>
        <v>0</v>
      </c>
      <c r="O16" s="400">
        <f>N16*I23</f>
        <v>0</v>
      </c>
    </row>
    <row r="17" spans="1:15" ht="17.25" customHeight="1" thickBot="1">
      <c r="A17" s="9"/>
      <c r="B17" s="953" t="s">
        <v>257</v>
      </c>
      <c r="C17" s="724"/>
      <c r="D17" s="1334"/>
      <c r="E17" s="945"/>
      <c r="F17" s="115"/>
      <c r="G17" s="1314" t="s">
        <v>258</v>
      </c>
      <c r="H17" s="1316" t="s">
        <v>799</v>
      </c>
      <c r="I17" s="13" t="s">
        <v>772</v>
      </c>
      <c r="K17" s="14"/>
      <c r="M17" s="466"/>
      <c r="N17" s="467"/>
      <c r="O17" s="400"/>
    </row>
    <row r="18" spans="1:15" ht="17.25" customHeight="1">
      <c r="A18" s="9"/>
      <c r="B18" s="953" t="s">
        <v>303</v>
      </c>
      <c r="C18" s="1919"/>
      <c r="D18" s="857"/>
      <c r="E18" s="2263"/>
      <c r="F18" s="53"/>
      <c r="G18" s="1311" t="str">
        <f>電気排出係数!B9</f>
        <v>北海道電力株式会社</v>
      </c>
      <c r="K18" s="14"/>
      <c r="M18" s="497" t="s">
        <v>52</v>
      </c>
      <c r="N18" s="498">
        <f t="shared" si="0"/>
        <v>0</v>
      </c>
      <c r="O18" s="400">
        <f>N18*I24</f>
        <v>0</v>
      </c>
    </row>
    <row r="19" spans="1:15" ht="17.25" customHeight="1">
      <c r="A19" s="9"/>
      <c r="B19" s="953" t="s">
        <v>27</v>
      </c>
      <c r="C19" s="1919"/>
      <c r="D19" s="857"/>
      <c r="E19" s="2264"/>
      <c r="F19" s="106"/>
      <c r="G19" s="1312" t="str">
        <f>電気排出係数!B10</f>
        <v>東北電力株式会社</v>
      </c>
      <c r="K19" s="14"/>
      <c r="M19" s="466" t="s">
        <v>55</v>
      </c>
      <c r="N19" s="467">
        <f t="shared" si="0"/>
        <v>0</v>
      </c>
      <c r="O19" s="400"/>
    </row>
    <row r="20" spans="1:15" ht="17.25" customHeight="1">
      <c r="A20" s="9"/>
      <c r="B20" s="953" t="s">
        <v>191</v>
      </c>
      <c r="C20" s="1922"/>
      <c r="D20" s="53" t="s">
        <v>192</v>
      </c>
      <c r="E20" s="945"/>
      <c r="F20" s="106"/>
      <c r="G20" s="1312" t="str">
        <f>電気排出係数!B11</f>
        <v>東京電力株式会社</v>
      </c>
      <c r="K20" s="14"/>
      <c r="M20" s="400" t="s">
        <v>56</v>
      </c>
      <c r="N20" s="401">
        <f>SUM(N9:N19)</f>
        <v>1</v>
      </c>
      <c r="O20" s="400"/>
    </row>
    <row r="21" spans="1:15" ht="17.25" customHeight="1">
      <c r="A21" s="9"/>
      <c r="B21" s="953" t="s">
        <v>50</v>
      </c>
      <c r="C21" s="1922"/>
      <c r="D21" s="53" t="s">
        <v>51</v>
      </c>
      <c r="E21" s="2263"/>
      <c r="F21" s="117"/>
      <c r="G21" s="1312" t="str">
        <f>電気排出係数!B12</f>
        <v>中部電力株式会社</v>
      </c>
      <c r="K21" s="14"/>
      <c r="L21" s="410"/>
      <c r="M21" s="402"/>
      <c r="N21" s="403"/>
      <c r="O21" s="402"/>
    </row>
    <row r="22" spans="1:15" ht="17.25" customHeight="1">
      <c r="A22" s="9"/>
      <c r="B22" s="953" t="s">
        <v>53</v>
      </c>
      <c r="C22" s="1922"/>
      <c r="D22" s="53" t="s">
        <v>192</v>
      </c>
      <c r="E22" s="2264"/>
      <c r="F22" s="118"/>
      <c r="G22" s="1312" t="str">
        <f>電気排出係数!B13</f>
        <v>北陸電力株式会社</v>
      </c>
      <c r="K22" s="9"/>
      <c r="M22" s="725"/>
      <c r="N22" s="881" t="s">
        <v>102</v>
      </c>
      <c r="O22" s="402"/>
    </row>
    <row r="23" spans="1:15" ht="17.25" customHeight="1" thickBot="1">
      <c r="A23" s="9"/>
      <c r="B23" s="953" t="s">
        <v>292</v>
      </c>
      <c r="C23" s="1923"/>
      <c r="D23" s="857"/>
      <c r="E23" s="945"/>
      <c r="F23" s="119"/>
      <c r="G23" s="1312" t="str">
        <f>電気排出係数!B14</f>
        <v>関西電力株式会社</v>
      </c>
      <c r="K23" s="9"/>
      <c r="M23" s="725"/>
      <c r="N23" s="881" t="s">
        <v>103</v>
      </c>
      <c r="O23" s="402"/>
    </row>
    <row r="24" spans="1:15" ht="17.25" customHeight="1" thickBot="1">
      <c r="A24" s="9"/>
      <c r="B24" s="123" t="s">
        <v>789</v>
      </c>
      <c r="C24" s="124"/>
      <c r="D24" s="124"/>
      <c r="E24" s="125"/>
      <c r="F24" s="120"/>
      <c r="G24" s="1312" t="str">
        <f>電気排出係数!B15</f>
        <v>中国電力株式会社</v>
      </c>
      <c r="K24" s="9"/>
      <c r="M24" s="725"/>
      <c r="N24" s="881" t="s">
        <v>104</v>
      </c>
      <c r="O24" s="402"/>
    </row>
    <row r="25" spans="1:15" s="17" customFormat="1" ht="18" customHeight="1">
      <c r="A25" s="9"/>
      <c r="B25" s="953" t="s">
        <v>229</v>
      </c>
      <c r="C25" s="860" t="s">
        <v>297</v>
      </c>
      <c r="D25" s="857"/>
      <c r="E25" s="112"/>
      <c r="F25" s="120"/>
      <c r="G25" s="1312" t="str">
        <f>電気排出係数!B16</f>
        <v>四国電力株式会社</v>
      </c>
      <c r="H25" s="21"/>
      <c r="I25" s="21"/>
      <c r="J25" s="21"/>
      <c r="K25" s="16"/>
      <c r="M25" s="404"/>
      <c r="N25" s="408" t="s">
        <v>296</v>
      </c>
      <c r="O25" s="404"/>
    </row>
    <row r="26" spans="1:15" s="17" customFormat="1" ht="17.25" customHeight="1">
      <c r="A26" s="16"/>
      <c r="B26" s="953" t="s">
        <v>293</v>
      </c>
      <c r="C26" s="860" t="s">
        <v>296</v>
      </c>
      <c r="D26" s="857"/>
      <c r="E26" s="112"/>
      <c r="F26" s="126"/>
      <c r="G26" s="1312" t="str">
        <f>電気排出係数!B17</f>
        <v>九州電力株式会社</v>
      </c>
      <c r="H26" s="21"/>
      <c r="I26" s="21"/>
      <c r="J26" s="21"/>
      <c r="K26" s="16"/>
      <c r="M26" s="405"/>
      <c r="N26" s="408" t="s">
        <v>297</v>
      </c>
      <c r="O26" s="405"/>
    </row>
    <row r="27" spans="1:15" s="12" customFormat="1" ht="17.25" customHeight="1">
      <c r="A27" s="16"/>
      <c r="B27" s="953" t="s">
        <v>230</v>
      </c>
      <c r="C27" s="860" t="s">
        <v>297</v>
      </c>
      <c r="D27" s="857"/>
      <c r="E27" s="112"/>
      <c r="F27" s="126"/>
      <c r="G27" s="1312" t="str">
        <f>電気排出係数!B18</f>
        <v>沖縄電力株式会社</v>
      </c>
      <c r="K27" s="9"/>
      <c r="L27" s="11"/>
      <c r="M27" s="405"/>
      <c r="N27" s="408" t="s">
        <v>298</v>
      </c>
      <c r="O27" s="405"/>
    </row>
    <row r="28" spans="1:15" s="12" customFormat="1" ht="17.25" customHeight="1" thickBot="1">
      <c r="A28" s="16"/>
      <c r="B28" s="953" t="s">
        <v>295</v>
      </c>
      <c r="C28" s="2257"/>
      <c r="D28" s="2258"/>
      <c r="E28" s="2259"/>
      <c r="F28" s="126"/>
      <c r="G28" s="1313" t="s">
        <v>799</v>
      </c>
      <c r="K28" s="9"/>
      <c r="L28" s="11"/>
      <c r="M28" s="405"/>
      <c r="N28" s="408" t="s">
        <v>296</v>
      </c>
      <c r="O28" s="405"/>
    </row>
    <row r="29" spans="1:15" s="12" customFormat="1" ht="17.25" customHeight="1" thickBot="1">
      <c r="A29" s="18"/>
      <c r="B29" s="954"/>
      <c r="C29" s="2260"/>
      <c r="D29" s="2261"/>
      <c r="E29" s="2262"/>
      <c r="F29" s="106"/>
      <c r="K29" s="9"/>
      <c r="L29" s="11"/>
      <c r="M29" s="406"/>
      <c r="N29" s="408" t="s">
        <v>298</v>
      </c>
      <c r="O29" s="406"/>
    </row>
    <row r="30" spans="1:15" s="12" customFormat="1" ht="17.25" customHeight="1" thickBot="1">
      <c r="A30" s="18"/>
      <c r="B30" s="123" t="s">
        <v>212</v>
      </c>
      <c r="C30" s="862"/>
      <c r="D30" s="862"/>
      <c r="E30" s="109"/>
      <c r="F30" s="106"/>
      <c r="K30" s="9"/>
      <c r="L30" s="11"/>
      <c r="M30" s="406"/>
      <c r="N30" s="398"/>
      <c r="O30" s="406"/>
    </row>
    <row r="31" spans="1:15" s="12" customFormat="1" ht="17.25" customHeight="1">
      <c r="A31" s="18"/>
      <c r="B31" s="127" t="s">
        <v>709</v>
      </c>
      <c r="C31" s="1924"/>
      <c r="D31" s="857"/>
      <c r="E31" s="128"/>
      <c r="F31" s="106"/>
      <c r="K31" s="9"/>
      <c r="L31" s="11"/>
      <c r="M31" s="407"/>
      <c r="N31" s="398" t="s">
        <v>833</v>
      </c>
      <c r="O31" s="407"/>
    </row>
    <row r="32" spans="1:15" s="12" customFormat="1" ht="17.25" customHeight="1">
      <c r="A32" s="15"/>
      <c r="B32" s="127" t="s">
        <v>832</v>
      </c>
      <c r="C32" s="1919"/>
      <c r="D32" s="857"/>
      <c r="E32" s="128"/>
      <c r="F32" s="122"/>
      <c r="G32" s="20"/>
      <c r="H32" s="19"/>
      <c r="I32" s="19"/>
      <c r="J32" s="9"/>
      <c r="K32" s="9"/>
      <c r="L32" s="11"/>
      <c r="M32" s="407"/>
      <c r="N32" s="398" t="s">
        <v>834</v>
      </c>
      <c r="O32" s="407"/>
    </row>
    <row r="33" spans="1:18" s="13" customFormat="1" ht="17.25" customHeight="1">
      <c r="A33" s="15"/>
      <c r="B33" s="127" t="s">
        <v>28</v>
      </c>
      <c r="C33" s="1924"/>
      <c r="D33" s="857"/>
      <c r="E33" s="128"/>
      <c r="F33" s="122"/>
      <c r="G33" s="20"/>
      <c r="H33" s="19"/>
      <c r="I33" s="19"/>
      <c r="J33" s="9"/>
      <c r="K33" s="9"/>
      <c r="L33" s="11"/>
      <c r="M33" s="407"/>
      <c r="N33" s="398" t="s">
        <v>458</v>
      </c>
      <c r="O33" s="407"/>
    </row>
    <row r="34" spans="1:18" s="13" customFormat="1" ht="17.25" customHeight="1">
      <c r="A34" s="15"/>
      <c r="B34" s="1287" t="s">
        <v>29</v>
      </c>
      <c r="C34" s="1919"/>
      <c r="D34" s="857"/>
      <c r="E34" s="128"/>
      <c r="F34" s="122"/>
      <c r="G34" s="20"/>
      <c r="H34" s="19"/>
      <c r="I34" s="19"/>
      <c r="J34" s="9"/>
      <c r="K34" s="9"/>
      <c r="L34" s="11"/>
      <c r="M34" s="409"/>
      <c r="N34" s="1109"/>
      <c r="O34" s="409"/>
    </row>
    <row r="35" spans="1:18" s="13" customFormat="1" ht="17.25" customHeight="1" thickBot="1">
      <c r="A35" s="15"/>
      <c r="B35" s="1310" t="s">
        <v>253</v>
      </c>
      <c r="C35" s="1319" t="s">
        <v>259</v>
      </c>
      <c r="D35" s="1286" t="str">
        <f>IF(C35=H35,"",J36)</f>
        <v/>
      </c>
      <c r="E35" s="129"/>
      <c r="F35" s="122"/>
      <c r="G35" s="20"/>
      <c r="H35" s="13" t="s">
        <v>259</v>
      </c>
      <c r="K35" s="9"/>
      <c r="L35" s="11"/>
      <c r="M35" s="409"/>
    </row>
    <row r="36" spans="1:18" s="13" customFormat="1" ht="9.75" customHeight="1" thickBot="1">
      <c r="A36" s="15"/>
      <c r="B36" s="9"/>
      <c r="C36" s="9"/>
      <c r="D36" s="9"/>
      <c r="E36" s="9"/>
      <c r="F36" s="15"/>
      <c r="G36" s="20"/>
      <c r="H36" s="13" t="s">
        <v>260</v>
      </c>
      <c r="J36" s="13" t="s">
        <v>266</v>
      </c>
      <c r="K36" s="9"/>
      <c r="L36" s="11"/>
    </row>
    <row r="37" spans="1:18" ht="14.25" thickBot="1">
      <c r="A37" s="9"/>
      <c r="B37" s="938" t="s">
        <v>213</v>
      </c>
      <c r="C37" s="939"/>
      <c r="D37" s="939"/>
      <c r="E37" s="940"/>
      <c r="F37" s="9"/>
      <c r="G37" s="9"/>
      <c r="H37" s="9"/>
      <c r="I37" s="9"/>
      <c r="J37" s="9"/>
      <c r="K37" s="9"/>
    </row>
    <row r="38" spans="1:18" ht="14.25" thickBot="1">
      <c r="A38" s="9"/>
      <c r="B38" s="121" t="s">
        <v>348</v>
      </c>
      <c r="C38" s="1317" t="s">
        <v>343</v>
      </c>
      <c r="D38" s="1354" t="s">
        <v>387</v>
      </c>
      <c r="E38" s="1318" t="s">
        <v>344</v>
      </c>
      <c r="F38" s="9"/>
      <c r="G38" s="9"/>
      <c r="H38" s="9"/>
      <c r="I38" s="9"/>
      <c r="J38" s="9"/>
      <c r="K38" s="9"/>
    </row>
    <row r="39" spans="1:18" ht="14.25" thickBot="1">
      <c r="A39" s="9"/>
      <c r="B39" s="121"/>
      <c r="C39" s="964" t="s">
        <v>345</v>
      </c>
      <c r="D39" s="1305" t="s">
        <v>346</v>
      </c>
      <c r="E39" s="1304" t="s">
        <v>347</v>
      </c>
      <c r="F39" s="9"/>
      <c r="G39" s="9"/>
      <c r="H39" s="9"/>
      <c r="I39" s="9"/>
      <c r="J39" s="9"/>
      <c r="K39" s="9"/>
    </row>
    <row r="40" spans="1:18" ht="13.5">
      <c r="A40" s="9"/>
      <c r="B40" s="1302"/>
      <c r="C40" s="964" t="s">
        <v>294</v>
      </c>
      <c r="D40" s="1305" t="s">
        <v>385</v>
      </c>
      <c r="E40" s="1307"/>
      <c r="F40" s="1308"/>
      <c r="G40" s="1308"/>
      <c r="H40" s="1308"/>
      <c r="I40" s="1308"/>
      <c r="J40" s="1308"/>
      <c r="K40" s="1308"/>
      <c r="L40" s="1116"/>
      <c r="M40" s="1116"/>
      <c r="N40" s="1116"/>
      <c r="O40" s="1116"/>
      <c r="P40" s="1116"/>
      <c r="Q40" s="1116"/>
      <c r="R40" s="1116"/>
    </row>
    <row r="41" spans="1:18" ht="13.5">
      <c r="A41" s="9"/>
      <c r="B41" s="1303" t="s">
        <v>351</v>
      </c>
      <c r="C41" s="964" t="s">
        <v>252</v>
      </c>
      <c r="D41" s="1305" t="s">
        <v>386</v>
      </c>
      <c r="E41" s="1353"/>
      <c r="F41" s="9"/>
      <c r="G41" s="9"/>
      <c r="H41" s="9"/>
      <c r="I41" s="9"/>
      <c r="J41" s="9"/>
      <c r="K41" s="9"/>
    </row>
    <row r="42" spans="1:18" ht="13.5">
      <c r="A42" s="9"/>
      <c r="B42" s="1303" t="s">
        <v>75</v>
      </c>
      <c r="C42" s="964" t="s">
        <v>76</v>
      </c>
      <c r="D42" s="1305"/>
      <c r="E42" s="1353"/>
      <c r="F42" s="9"/>
      <c r="G42" s="9"/>
      <c r="H42" s="9"/>
      <c r="I42" s="9"/>
      <c r="J42" s="9"/>
      <c r="K42" s="9"/>
    </row>
    <row r="43" spans="1:18" ht="14.25" thickBot="1">
      <c r="A43" s="9"/>
      <c r="B43" s="121" t="s">
        <v>349</v>
      </c>
      <c r="C43" s="986" t="s">
        <v>350</v>
      </c>
      <c r="D43" s="1306" t="s">
        <v>388</v>
      </c>
      <c r="E43" s="1355" t="s">
        <v>389</v>
      </c>
      <c r="F43" s="9"/>
      <c r="G43" s="9"/>
      <c r="H43" s="9"/>
      <c r="I43" s="9"/>
      <c r="J43" s="9"/>
      <c r="K43" s="9"/>
    </row>
    <row r="44" spans="1:18" ht="13.5">
      <c r="A44" s="9"/>
      <c r="B44" s="9"/>
      <c r="C44" s="9"/>
      <c r="D44" s="7"/>
      <c r="E44" s="9"/>
      <c r="F44" s="9"/>
      <c r="G44" s="9"/>
      <c r="H44" s="9"/>
      <c r="I44" s="9"/>
      <c r="J44" s="9"/>
      <c r="K44" s="9"/>
    </row>
    <row r="45" spans="1:18" ht="13.5" hidden="1">
      <c r="G45" s="11"/>
      <c r="H45" s="11"/>
      <c r="I45" s="11"/>
      <c r="J45" s="11"/>
    </row>
    <row r="46" spans="1:18" ht="13.5" hidden="1">
      <c r="G46" s="11"/>
      <c r="H46" s="11"/>
      <c r="I46" s="11"/>
      <c r="J46" s="11"/>
    </row>
    <row r="47" spans="1:18" ht="13.5" hidden="1">
      <c r="G47" s="11"/>
      <c r="H47" s="11"/>
      <c r="I47" s="11"/>
      <c r="J47" s="11"/>
    </row>
    <row r="48" spans="1:18" ht="13.5" hidden="1">
      <c r="G48" s="11"/>
      <c r="H48" s="11"/>
      <c r="I48" s="11"/>
      <c r="J48" s="11"/>
    </row>
    <row r="49" spans="7:10" ht="13.5" hidden="1">
      <c r="G49" s="11"/>
      <c r="H49" s="11"/>
      <c r="I49" s="11"/>
      <c r="J49" s="11"/>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password="CC47" sheet="1" objects="1" scenarios="1"/>
  <mergeCells count="6">
    <mergeCell ref="C13:D13"/>
    <mergeCell ref="C14:D14"/>
    <mergeCell ref="C28:E29"/>
    <mergeCell ref="E18:E19"/>
    <mergeCell ref="E21:E22"/>
    <mergeCell ref="E13:E16"/>
  </mergeCells>
  <phoneticPr fontId="4"/>
  <conditionalFormatting sqref="H10:I14 E20:E21 E23 C31:C32 C10 E12:E13 C25:C28 E17:E18 C12:C23">
    <cfRule type="cellIs" dxfId="156" priority="5" stopIfTrue="1" operator="equal">
      <formula>0</formula>
    </cfRule>
  </conditionalFormatting>
  <conditionalFormatting sqref="C33:C34">
    <cfRule type="cellIs" dxfId="155" priority="2" stopIfTrue="1" operator="equal">
      <formula>0</formula>
    </cfRule>
  </conditionalFormatting>
  <dataValidations count="8">
    <dataValidation type="list" allowBlank="1" showInputMessage="1" showErrorMessage="1" sqref="H10:H14">
      <formula1>$M$9</formula1>
    </dataValidation>
    <dataValidation type="list" allowBlank="1" showInputMessage="1" showErrorMessage="1" sqref="E12">
      <formula1>$N$23:$N$24</formula1>
    </dataValidation>
    <dataValidation type="list" allowBlank="1" showInputMessage="1" showErrorMessage="1" sqref="C15">
      <formula1>"1,2,3,4,5,6,7,8"</formula1>
    </dataValidation>
    <dataValidation type="list" allowBlank="1" showInputMessage="1" showErrorMessage="1" sqref="C16">
      <formula1>"い,ろ,は"</formula1>
    </dataValidation>
    <dataValidation type="list" allowBlank="1" showInputMessage="1" showErrorMessage="1" sqref="C25:C27">
      <formula1>$N$25:$N$27</formula1>
    </dataValidation>
    <dataValidation type="list" allowBlank="1" showInputMessage="1" showErrorMessage="1" sqref="E13:E23">
      <formula1>$N$28:$N$29</formula1>
    </dataValidation>
    <dataValidation type="list" allowBlank="1" showInputMessage="1" showErrorMessage="1" sqref="C35">
      <formula1>$H$35:$H$36</formula1>
    </dataValidation>
    <dataValidation type="list" allowBlank="1" showInputMessage="1" showErrorMessage="1" sqref="C17">
      <formula1>$G$18:$G$28</formula1>
    </dataValidation>
  </dataValidations>
  <hyperlinks>
    <hyperlink ref="C43" location="重み!Print_Titles" tooltip="[重み]シート" display="●重み"/>
    <hyperlink ref="C42" location="結果!Print_Area" tooltip="[結果]シート" display="●結果　"/>
    <hyperlink ref="C40" location="配慮!A1" tooltip="[配慮]シート" display="●配慮"/>
    <hyperlink ref="C39" location="採点LR1!A1" tooltip="[採点LR1]シート" display="●採点ＬＲ１"/>
    <hyperlink ref="D39" location="採点LR2!A1" tooltip="[採点LR2]シート" display="●採点ＬＲ２"/>
    <hyperlink ref="E39" location="採点LR3!A1" tooltip="[採点LR3]シート" display="●採点ＬＲ３"/>
    <hyperlink ref="C41" location="スコア!Print_Area" tooltip="[スコア]シート" display="●スコア"/>
    <hyperlink ref="D41" location="CO2計算!Print_Area" tooltip="[CO2計算]シート" display="●CO2計算"/>
    <hyperlink ref="D43" location="CO2データ!Print_Area" tooltip="[CO2データ]シート" display="●CO2データ"/>
    <hyperlink ref="D40" location="CO2独自計算!A1" tooltip="[CO2独自計算]シート" display="●CO2独自計算"/>
    <hyperlink ref="C38" location="採点Q1!A1" tooltip="[採点Q1]シート" display="●採点Ｑ１"/>
    <hyperlink ref="D38" location="採点Q2!A1" tooltip="[採点Q2]シート" display="●採点Ｑ２"/>
    <hyperlink ref="E38" location="採点Q3!A1" tooltip="[採点Q3]シート" display="●採点Ｑ３"/>
    <hyperlink ref="E43" location="電気排出係数!A1" tooltip="[電気排出係数]シート" display="●電気排出係数"/>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IU80"/>
  <sheetViews>
    <sheetView showGridLines="0" zoomScaleNormal="100" workbookViewId="0">
      <selection activeCell="M12" sqref="M12"/>
    </sheetView>
  </sheetViews>
  <sheetFormatPr defaultColWidth="0" defaultRowHeight="0" customHeight="1" zeroHeight="1"/>
  <cols>
    <col min="1" max="1" width="0.75" style="430" customWidth="1"/>
    <col min="2" max="2" width="2.125" style="444" customWidth="1"/>
    <col min="3" max="3" width="13.375" style="444" customWidth="1"/>
    <col min="4" max="4" width="5.375" style="445" customWidth="1"/>
    <col min="5" max="5" width="6.75" style="447" customWidth="1"/>
    <col min="6" max="6" width="8.25" style="448" customWidth="1"/>
    <col min="7" max="7" width="8.375" style="448" customWidth="1"/>
    <col min="8" max="8" width="9.625" style="448" customWidth="1"/>
    <col min="9" max="9" width="6.125" style="449" customWidth="1"/>
    <col min="10" max="10" width="13.875" style="449" customWidth="1"/>
    <col min="11" max="11" width="14.5" style="448" customWidth="1"/>
    <col min="12" max="12" width="10.75" style="448" customWidth="1"/>
    <col min="13" max="15" width="10.75" style="357" customWidth="1"/>
    <col min="16" max="16" width="1.375" style="430" customWidth="1"/>
    <col min="17" max="17" width="3.875" style="430" hidden="1" customWidth="1"/>
    <col min="18" max="18" width="30.125" style="330" hidden="1" customWidth="1"/>
    <col min="19" max="19" width="18.625" style="331" hidden="1" customWidth="1"/>
    <col min="20" max="20" width="15.25" style="330" hidden="1" customWidth="1"/>
    <col min="21" max="21" width="22.875" style="330" hidden="1" customWidth="1"/>
    <col min="22" max="22" width="18.625" style="330" hidden="1" customWidth="1"/>
    <col min="23" max="23" width="12.75" style="330" hidden="1" customWidth="1"/>
    <col min="24" max="26" width="10.5" style="330" hidden="1" customWidth="1"/>
    <col min="27" max="27" width="4.625" style="330" hidden="1" customWidth="1"/>
    <col min="28" max="28" width="13.25" style="330" hidden="1" customWidth="1"/>
    <col min="29" max="31" width="5" style="332" hidden="1" customWidth="1"/>
    <col min="32" max="32" width="5.125" style="332" hidden="1" customWidth="1"/>
    <col min="33" max="34" width="9" style="332" hidden="1" customWidth="1"/>
    <col min="35" max="35" width="16.5" style="332" hidden="1" customWidth="1"/>
    <col min="36" max="254" width="9" style="332" hidden="1" customWidth="1"/>
    <col min="255" max="255" width="8.875" style="332" hidden="1" customWidth="1"/>
    <col min="256" max="16384" width="4.375" style="332" hidden="1"/>
  </cols>
  <sheetData>
    <row r="1" spans="1:28" s="328" customFormat="1" ht="6" customHeight="1" thickBot="1">
      <c r="A1" s="419"/>
      <c r="B1" s="420"/>
      <c r="C1" s="421"/>
      <c r="D1" s="422"/>
      <c r="E1" s="423"/>
      <c r="F1" s="424"/>
      <c r="G1" s="424"/>
      <c r="H1" s="424"/>
      <c r="I1" s="418"/>
      <c r="J1" s="418"/>
      <c r="K1" s="424"/>
      <c r="L1" s="425"/>
      <c r="M1" s="423"/>
      <c r="N1" s="423"/>
      <c r="O1" s="423"/>
      <c r="P1" s="419"/>
      <c r="Q1" s="426"/>
      <c r="S1" s="329"/>
    </row>
    <row r="2" spans="1:28" s="330" customFormat="1" ht="15.75" customHeight="1" thickTop="1">
      <c r="A2" s="427"/>
      <c r="B2" s="748"/>
      <c r="C2" s="749"/>
      <c r="D2" s="59"/>
      <c r="E2" s="60"/>
      <c r="F2" s="750"/>
      <c r="G2" s="750"/>
      <c r="H2" s="750"/>
      <c r="I2" s="746"/>
      <c r="J2" s="746"/>
      <c r="K2" s="746"/>
      <c r="L2" s="746"/>
      <c r="M2" s="746"/>
      <c r="N2" s="750"/>
      <c r="O2" s="417"/>
      <c r="P2" s="427"/>
      <c r="Q2" s="2272" t="s">
        <v>59</v>
      </c>
      <c r="R2" s="345"/>
      <c r="S2" s="345"/>
      <c r="T2" s="345"/>
      <c r="U2" s="345"/>
      <c r="W2" s="345"/>
      <c r="X2" s="345"/>
      <c r="Y2" s="345"/>
      <c r="Z2" s="345"/>
      <c r="AA2" s="345"/>
      <c r="AB2" s="345"/>
    </row>
    <row r="3" spans="1:28" s="330" customFormat="1" ht="30" customHeight="1">
      <c r="A3" s="427"/>
      <c r="B3" s="745"/>
      <c r="C3" s="745"/>
      <c r="D3" s="745"/>
      <c r="E3" s="745"/>
      <c r="F3" s="750"/>
      <c r="G3" s="750"/>
      <c r="H3" s="750"/>
      <c r="I3" s="746"/>
      <c r="J3" s="746"/>
      <c r="K3" s="746"/>
      <c r="L3" s="746"/>
      <c r="M3" s="746"/>
      <c r="N3" s="750"/>
      <c r="O3" s="750"/>
      <c r="P3" s="427"/>
      <c r="Q3" s="2273"/>
      <c r="R3" s="345"/>
      <c r="S3" s="345"/>
      <c r="T3" s="345"/>
      <c r="U3" s="345"/>
      <c r="W3" s="345"/>
      <c r="X3" s="345"/>
      <c r="Y3" s="345"/>
      <c r="Z3" s="345"/>
      <c r="AA3" s="345"/>
      <c r="AB3" s="345"/>
    </row>
    <row r="4" spans="1:28" s="330" customFormat="1" ht="12" customHeight="1">
      <c r="A4" s="427"/>
      <c r="B4" s="745"/>
      <c r="C4" s="745"/>
      <c r="D4" s="745"/>
      <c r="E4" s="745"/>
      <c r="F4" s="750"/>
      <c r="G4" s="750"/>
      <c r="H4" s="750"/>
      <c r="I4" s="746"/>
      <c r="J4" s="746"/>
      <c r="K4" s="746"/>
      <c r="L4" s="746"/>
      <c r="M4" s="746"/>
      <c r="O4" s="47"/>
      <c r="P4" s="427"/>
      <c r="Q4" s="2273"/>
      <c r="R4" s="345"/>
      <c r="S4" s="345"/>
      <c r="T4" s="345"/>
      <c r="U4" s="345"/>
      <c r="W4" s="345"/>
      <c r="X4" s="345"/>
      <c r="Y4" s="345"/>
      <c r="Z4" s="345"/>
      <c r="AA4" s="345"/>
      <c r="AB4" s="345"/>
    </row>
    <row r="5" spans="1:28" s="330" customFormat="1" ht="13.5" customHeight="1" thickBot="1">
      <c r="A5" s="427"/>
      <c r="B5" s="751"/>
      <c r="C5" s="58"/>
      <c r="D5" s="59"/>
      <c r="E5" s="60"/>
      <c r="F5" s="750"/>
      <c r="G5" s="1775" t="s">
        <v>963</v>
      </c>
      <c r="H5" s="1608"/>
      <c r="I5" s="1608"/>
      <c r="K5" s="1351" t="str">
        <f>メイン!C6</f>
        <v>CASBEE京都 戸建-新築(2015年版)</v>
      </c>
      <c r="L5" s="1074" t="s">
        <v>659</v>
      </c>
      <c r="M5" s="880"/>
      <c r="N5" s="750"/>
      <c r="O5" s="879" t="str">
        <f>メイン!C5</f>
        <v>CASBEE京都 戸建-新築2015(v.1.0)</v>
      </c>
      <c r="P5" s="427"/>
      <c r="Q5" s="2274"/>
      <c r="R5" s="345"/>
      <c r="S5" s="345"/>
      <c r="T5" s="345"/>
      <c r="U5" s="345"/>
      <c r="W5" s="345"/>
      <c r="X5" s="345"/>
      <c r="Y5" s="345"/>
      <c r="Z5" s="345"/>
      <c r="AA5" s="345"/>
      <c r="AB5" s="345"/>
    </row>
    <row r="6" spans="1:28" s="330" customFormat="1" ht="3" customHeight="1" thickTop="1" thickBot="1">
      <c r="A6" s="427"/>
      <c r="B6" s="63"/>
      <c r="C6" s="63"/>
      <c r="D6" s="64"/>
      <c r="E6" s="65"/>
      <c r="F6" s="65"/>
      <c r="G6" s="65"/>
      <c r="H6" s="65"/>
      <c r="I6" s="65"/>
      <c r="J6" s="65"/>
      <c r="K6" s="65"/>
      <c r="L6" s="65"/>
      <c r="M6" s="65"/>
      <c r="N6" s="65"/>
      <c r="O6" s="65"/>
      <c r="P6" s="427"/>
      <c r="Q6" s="430"/>
      <c r="R6" s="345"/>
      <c r="S6" s="345"/>
      <c r="T6" s="345"/>
      <c r="U6" s="345"/>
      <c r="W6" s="345"/>
      <c r="X6" s="345"/>
      <c r="Y6" s="345"/>
      <c r="Z6" s="345"/>
      <c r="AA6" s="345"/>
      <c r="AB6" s="345"/>
    </row>
    <row r="7" spans="1:28" s="330" customFormat="1" ht="19.5" customHeight="1" thickBot="1">
      <c r="A7" s="427"/>
      <c r="B7" s="828" t="s">
        <v>221</v>
      </c>
      <c r="C7" s="827"/>
      <c r="D7" s="829"/>
      <c r="E7" s="827"/>
      <c r="F7" s="827"/>
      <c r="G7" s="827"/>
      <c r="H7" s="827"/>
      <c r="I7" s="827"/>
      <c r="J7" s="827"/>
      <c r="K7" s="827"/>
      <c r="L7" s="855" t="s">
        <v>287</v>
      </c>
      <c r="M7" s="333"/>
      <c r="N7" s="333"/>
      <c r="O7" s="334"/>
      <c r="P7" s="427"/>
      <c r="Q7" s="430"/>
      <c r="R7" s="899" t="s">
        <v>116</v>
      </c>
      <c r="S7" s="435"/>
      <c r="T7" s="435"/>
      <c r="U7" s="899" t="s">
        <v>107</v>
      </c>
      <c r="AB7" s="351"/>
    </row>
    <row r="8" spans="1:28" s="330" customFormat="1" ht="15.75" customHeight="1">
      <c r="A8" s="427"/>
      <c r="B8" s="838" t="s">
        <v>184</v>
      </c>
      <c r="C8" s="839"/>
      <c r="D8" s="2269">
        <f>メイン!C10</f>
        <v>0</v>
      </c>
      <c r="E8" s="2270"/>
      <c r="F8" s="2271"/>
      <c r="G8" s="1925" t="str">
        <f>IF(メイン!E10="","",メイン!E10)</f>
        <v/>
      </c>
      <c r="H8" s="835" t="s">
        <v>172</v>
      </c>
      <c r="I8" s="428"/>
      <c r="J8" s="874" t="s">
        <v>233</v>
      </c>
      <c r="K8" s="1932" t="str">
        <f>メイン!C25</f>
        <v>一部確定</v>
      </c>
      <c r="L8" s="450"/>
      <c r="M8" s="450"/>
      <c r="N8" s="450"/>
      <c r="O8" s="451"/>
      <c r="P8" s="427"/>
      <c r="Q8" s="430"/>
      <c r="R8" s="900" t="s">
        <v>846</v>
      </c>
      <c r="S8" s="900">
        <f>スコア!Y8</f>
        <v>2.8850000000000002</v>
      </c>
      <c r="T8" s="435"/>
      <c r="U8" s="347"/>
      <c r="V8" s="349"/>
      <c r="W8" s="884" t="s">
        <v>101</v>
      </c>
      <c r="X8" s="884">
        <v>4</v>
      </c>
      <c r="Y8" s="884">
        <v>2</v>
      </c>
      <c r="Z8" s="350" t="s">
        <v>716</v>
      </c>
      <c r="AA8" s="878" t="s">
        <v>201</v>
      </c>
      <c r="AB8" s="351"/>
    </row>
    <row r="9" spans="1:28" s="330" customFormat="1" ht="15.75" customHeight="1">
      <c r="A9" s="427"/>
      <c r="B9" s="841" t="s">
        <v>105</v>
      </c>
      <c r="C9" s="842"/>
      <c r="D9" s="2266">
        <f>メイン!C12</f>
        <v>0</v>
      </c>
      <c r="E9" s="2267"/>
      <c r="F9" s="2268"/>
      <c r="G9" s="1926">
        <f>メイン!E12</f>
        <v>0</v>
      </c>
      <c r="H9" s="837"/>
      <c r="J9" s="875" t="s">
        <v>234</v>
      </c>
      <c r="K9" s="1933" t="str">
        <f>メイン!C26</f>
        <v>仮</v>
      </c>
      <c r="L9" s="450"/>
      <c r="M9" s="450"/>
      <c r="N9" s="450"/>
      <c r="O9" s="451"/>
      <c r="P9" s="427"/>
      <c r="Q9" s="430"/>
      <c r="R9" s="900" t="s">
        <v>847</v>
      </c>
      <c r="S9" s="900" t="e">
        <f>スコア!Y51</f>
        <v>#VALUE!</v>
      </c>
      <c r="T9" s="435"/>
      <c r="U9" s="900" t="s">
        <v>108</v>
      </c>
      <c r="V9" s="753" t="s">
        <v>717</v>
      </c>
      <c r="W9" s="884">
        <v>5</v>
      </c>
      <c r="X9" s="884">
        <v>4</v>
      </c>
      <c r="Y9" s="884">
        <v>2</v>
      </c>
      <c r="Z9" s="352">
        <f>V45</f>
        <v>2.9</v>
      </c>
      <c r="AA9" s="878">
        <v>3</v>
      </c>
      <c r="AB9" s="351"/>
    </row>
    <row r="10" spans="1:28" s="330" customFormat="1" ht="15.75" customHeight="1">
      <c r="A10" s="427"/>
      <c r="B10" s="837" t="s">
        <v>193</v>
      </c>
      <c r="C10" s="831"/>
      <c r="D10" s="2319" t="str">
        <f>メイン!C13</f>
        <v>京都市○○区○○</v>
      </c>
      <c r="E10" s="2320"/>
      <c r="F10" s="2321"/>
      <c r="G10" s="1927"/>
      <c r="H10" s="836"/>
      <c r="J10" s="875" t="s">
        <v>235</v>
      </c>
      <c r="K10" s="1928" t="str">
        <f>メイン!C27</f>
        <v>一部確定</v>
      </c>
      <c r="L10" s="1347"/>
      <c r="M10" s="452"/>
      <c r="N10" s="452"/>
      <c r="O10" s="451"/>
      <c r="P10" s="427"/>
      <c r="Q10" s="430"/>
      <c r="R10" s="350" t="s">
        <v>190</v>
      </c>
      <c r="S10" s="350">
        <f>25*(S8-1)</f>
        <v>47.125000000000007</v>
      </c>
      <c r="T10" s="435"/>
      <c r="U10" s="900" t="s">
        <v>109</v>
      </c>
      <c r="V10" s="732" t="s">
        <v>718</v>
      </c>
      <c r="W10" s="884">
        <v>5</v>
      </c>
      <c r="X10" s="884">
        <v>4</v>
      </c>
      <c r="Y10" s="884">
        <v>2</v>
      </c>
      <c r="Z10" s="352">
        <f>Y45</f>
        <v>2.6</v>
      </c>
      <c r="AA10" s="878">
        <v>3</v>
      </c>
      <c r="AB10" s="351"/>
    </row>
    <row r="11" spans="1:28" s="330" customFormat="1" ht="15.75" customHeight="1">
      <c r="A11" s="427"/>
      <c r="B11" s="837" t="s">
        <v>289</v>
      </c>
      <c r="C11" s="832"/>
      <c r="D11" s="2322">
        <f>メイン!C14</f>
        <v>0</v>
      </c>
      <c r="E11" s="2323"/>
      <c r="F11" s="2324"/>
      <c r="G11" s="1928">
        <f>メイン!E13</f>
        <v>0</v>
      </c>
      <c r="H11" s="1075" t="s">
        <v>39</v>
      </c>
      <c r="I11" s="1072"/>
      <c r="J11" s="1072"/>
      <c r="K11" s="1073"/>
      <c r="L11" s="450"/>
      <c r="M11" s="452"/>
      <c r="N11" s="452"/>
      <c r="O11" s="451"/>
      <c r="P11" s="427"/>
      <c r="Q11" s="430"/>
      <c r="R11" s="350" t="s">
        <v>335</v>
      </c>
      <c r="S11" s="350" t="e">
        <f>25*(5-S9)</f>
        <v>#VALUE!</v>
      </c>
      <c r="T11" s="351"/>
      <c r="U11" s="900" t="s">
        <v>110</v>
      </c>
      <c r="V11" s="753" t="s">
        <v>216</v>
      </c>
      <c r="W11" s="884">
        <v>5</v>
      </c>
      <c r="X11" s="884">
        <v>4</v>
      </c>
      <c r="Y11" s="884">
        <v>2</v>
      </c>
      <c r="Z11" s="352" t="e">
        <f>Y55</f>
        <v>#VALUE!</v>
      </c>
      <c r="AA11" s="878">
        <v>3</v>
      </c>
      <c r="AB11" s="351"/>
    </row>
    <row r="12" spans="1:28" s="330" customFormat="1" ht="15.75" customHeight="1">
      <c r="A12" s="427"/>
      <c r="B12" s="1346" t="s">
        <v>219</v>
      </c>
      <c r="C12" s="831"/>
      <c r="D12" s="2325" t="str">
        <f>メイン!C15&amp;" 地域"</f>
        <v>6 地域</v>
      </c>
      <c r="E12" s="2326"/>
      <c r="F12" s="2327"/>
      <c r="G12" s="1929"/>
      <c r="H12" s="2279" t="str">
        <f>IF(メイン!C28=0,"",メイン!C28)</f>
        <v/>
      </c>
      <c r="I12" s="2280"/>
      <c r="J12" s="2280"/>
      <c r="K12" s="2281"/>
      <c r="L12" s="450"/>
      <c r="M12" s="1345" t="s">
        <v>773</v>
      </c>
      <c r="N12" s="452"/>
      <c r="O12" s="451"/>
      <c r="P12" s="427"/>
      <c r="Q12" s="430"/>
      <c r="R12" s="350" t="s">
        <v>336</v>
      </c>
      <c r="S12" s="350" t="e">
        <f>S10/S11</f>
        <v>#VALUE!</v>
      </c>
      <c r="T12" s="351"/>
      <c r="U12" s="900" t="s">
        <v>111</v>
      </c>
      <c r="V12" s="753" t="s">
        <v>708</v>
      </c>
      <c r="W12" s="884">
        <v>5</v>
      </c>
      <c r="X12" s="884">
        <v>4</v>
      </c>
      <c r="Y12" s="884">
        <v>2</v>
      </c>
      <c r="Z12" s="352">
        <f>V55</f>
        <v>3</v>
      </c>
      <c r="AA12" s="878">
        <v>3</v>
      </c>
      <c r="AB12" s="351"/>
    </row>
    <row r="13" spans="1:28" s="330" customFormat="1" ht="15.75" customHeight="1">
      <c r="A13" s="427"/>
      <c r="B13" s="1014" t="s">
        <v>228</v>
      </c>
      <c r="C13" s="1015"/>
      <c r="D13" s="2328">
        <f>メイン!C18</f>
        <v>0</v>
      </c>
      <c r="E13" s="2329"/>
      <c r="F13" s="2330"/>
      <c r="G13" s="2277">
        <f>メイン!E18</f>
        <v>0</v>
      </c>
      <c r="H13" s="2279"/>
      <c r="I13" s="2280"/>
      <c r="J13" s="2280"/>
      <c r="K13" s="2281"/>
      <c r="L13" s="450"/>
      <c r="M13" s="1785" t="s">
        <v>981</v>
      </c>
      <c r="N13" s="452"/>
      <c r="O13" s="451"/>
      <c r="P13" s="427"/>
      <c r="Q13" s="430"/>
      <c r="R13" s="900" t="s">
        <v>118</v>
      </c>
      <c r="S13" s="895" t="e">
        <f>ROUNDDOWN(S12,1)</f>
        <v>#VALUE!</v>
      </c>
      <c r="T13" s="351"/>
      <c r="U13" s="900" t="s">
        <v>112</v>
      </c>
      <c r="V13" s="753" t="s">
        <v>719</v>
      </c>
      <c r="W13" s="884">
        <v>5</v>
      </c>
      <c r="X13" s="884">
        <v>4</v>
      </c>
      <c r="Y13" s="884">
        <v>2</v>
      </c>
      <c r="Z13" s="352">
        <f>S55</f>
        <v>4.3</v>
      </c>
      <c r="AA13" s="878">
        <v>3</v>
      </c>
      <c r="AB13" s="351"/>
    </row>
    <row r="14" spans="1:28" s="330" customFormat="1" ht="15.75" customHeight="1">
      <c r="A14" s="427"/>
      <c r="B14" s="1016" t="s">
        <v>232</v>
      </c>
      <c r="C14" s="1017"/>
      <c r="D14" s="2331">
        <f>メイン!C19</f>
        <v>0</v>
      </c>
      <c r="E14" s="2332"/>
      <c r="F14" s="2333"/>
      <c r="G14" s="2278"/>
      <c r="H14" s="2282"/>
      <c r="I14" s="2283"/>
      <c r="J14" s="2283"/>
      <c r="K14" s="2284"/>
      <c r="L14" s="450"/>
      <c r="M14" s="1785" t="s">
        <v>982</v>
      </c>
      <c r="N14" s="450"/>
      <c r="O14" s="451"/>
      <c r="P14" s="427"/>
      <c r="Q14" s="430"/>
      <c r="R14" s="435"/>
      <c r="S14" s="871"/>
      <c r="T14" s="435"/>
      <c r="U14" s="900" t="s">
        <v>113</v>
      </c>
      <c r="V14" s="732" t="s">
        <v>710</v>
      </c>
      <c r="W14" s="884">
        <v>5</v>
      </c>
      <c r="X14" s="884">
        <v>4</v>
      </c>
      <c r="Y14" s="884">
        <v>2</v>
      </c>
      <c r="Z14" s="352">
        <f>S45</f>
        <v>3</v>
      </c>
      <c r="AA14" s="878">
        <v>3</v>
      </c>
      <c r="AB14" s="351"/>
    </row>
    <row r="15" spans="1:28" s="330" customFormat="1" ht="15.75" customHeight="1">
      <c r="A15" s="427"/>
      <c r="B15" s="882" t="s">
        <v>231</v>
      </c>
      <c r="C15" s="883"/>
      <c r="D15" s="2289">
        <f>メイン!C20</f>
        <v>0</v>
      </c>
      <c r="E15" s="2290"/>
      <c r="F15" s="1018" t="s">
        <v>220</v>
      </c>
      <c r="G15" s="1930">
        <f>メイン!E20</f>
        <v>0</v>
      </c>
      <c r="H15" s="843" t="s">
        <v>747</v>
      </c>
      <c r="I15" s="844"/>
      <c r="J15" s="2295" t="str">
        <f>IF(メイン!C31=0,"",メイン!C31)</f>
        <v/>
      </c>
      <c r="K15" s="2296"/>
      <c r="L15" s="1335"/>
      <c r="M15" s="1335"/>
      <c r="N15" s="1336"/>
      <c r="O15" s="1337"/>
      <c r="P15" s="427"/>
      <c r="Q15" s="430"/>
      <c r="R15" s="350" t="s">
        <v>114</v>
      </c>
      <c r="S15" s="901" t="e">
        <f>IF(AND($S$10&gt;=50,$S$12&gt;=3),1,IF(S13&lt;0.5,1,IF(S13&lt;1,2,IF(S13&lt;1.5,3,IF(S13&lt;3,4,4))))/5)</f>
        <v>#VALUE!</v>
      </c>
      <c r="T15" s="351"/>
      <c r="U15" s="435"/>
      <c r="V15" s="351"/>
      <c r="W15" s="351"/>
      <c r="X15" s="351"/>
      <c r="AB15" s="351"/>
    </row>
    <row r="16" spans="1:28" s="330" customFormat="1" ht="15.75" customHeight="1">
      <c r="A16" s="427"/>
      <c r="B16" s="840" t="s">
        <v>841</v>
      </c>
      <c r="C16" s="834"/>
      <c r="D16" s="2287">
        <f>メイン!C21</f>
        <v>0</v>
      </c>
      <c r="E16" s="2288"/>
      <c r="F16" s="830" t="s">
        <v>220</v>
      </c>
      <c r="G16" s="2275">
        <f>メイン!E21</f>
        <v>0</v>
      </c>
      <c r="H16" s="847" t="s">
        <v>748</v>
      </c>
      <c r="I16" s="848"/>
      <c r="J16" s="2293" t="str">
        <f>IF(メイン!C32=0,"",メイン!C32)</f>
        <v/>
      </c>
      <c r="K16" s="2294"/>
      <c r="L16" s="1338"/>
      <c r="M16" s="1335"/>
      <c r="N16" s="1339"/>
      <c r="O16" s="1340"/>
      <c r="P16" s="427"/>
      <c r="Q16" s="430"/>
      <c r="R16" s="350" t="s">
        <v>115</v>
      </c>
      <c r="S16" s="752" t="e">
        <f>1-S15</f>
        <v>#VALUE!</v>
      </c>
      <c r="T16" s="353"/>
      <c r="U16" s="353"/>
      <c r="V16" s="353"/>
      <c r="W16" s="353"/>
      <c r="X16" s="353"/>
      <c r="AB16" s="351"/>
    </row>
    <row r="17" spans="1:28" s="330" customFormat="1" ht="14.25">
      <c r="A17" s="427"/>
      <c r="B17" s="840" t="s">
        <v>30</v>
      </c>
      <c r="C17" s="834"/>
      <c r="D17" s="2285">
        <f>メイン!C22</f>
        <v>0</v>
      </c>
      <c r="E17" s="2286"/>
      <c r="F17" s="830" t="s">
        <v>220</v>
      </c>
      <c r="G17" s="2276"/>
      <c r="H17" s="837" t="s">
        <v>407</v>
      </c>
      <c r="I17" s="833"/>
      <c r="J17" s="2291" t="str">
        <f>IF(メイン!C33=0,"",メイン!C33)</f>
        <v/>
      </c>
      <c r="K17" s="2292"/>
      <c r="L17" s="1338"/>
      <c r="M17" s="1335"/>
      <c r="N17" s="1339"/>
      <c r="O17" s="1340"/>
      <c r="P17" s="427"/>
      <c r="Q17" s="430"/>
      <c r="R17" s="353"/>
      <c r="S17" s="353"/>
      <c r="T17" s="353"/>
      <c r="U17" s="353"/>
      <c r="V17" s="353"/>
      <c r="W17" s="353"/>
      <c r="X17" s="353"/>
      <c r="AB17" s="351"/>
    </row>
    <row r="18" spans="1:28" s="330" customFormat="1" ht="15" thickBot="1">
      <c r="A18" s="427"/>
      <c r="B18" s="849" t="s">
        <v>288</v>
      </c>
      <c r="C18" s="850"/>
      <c r="D18" s="2314">
        <f>メイン!C23</f>
        <v>0</v>
      </c>
      <c r="E18" s="2315"/>
      <c r="F18" s="2316"/>
      <c r="G18" s="1931">
        <f>メイン!E23</f>
        <v>0</v>
      </c>
      <c r="H18" s="845" t="s">
        <v>446</v>
      </c>
      <c r="I18" s="846"/>
      <c r="J18" s="2335" t="str">
        <f>IF(メイン!C34=0,"",メイン!C34)</f>
        <v/>
      </c>
      <c r="K18" s="2336"/>
      <c r="L18" s="1341"/>
      <c r="M18" s="1342"/>
      <c r="N18" s="1343"/>
      <c r="O18" s="1344"/>
      <c r="P18" s="427"/>
      <c r="Q18" s="430"/>
      <c r="R18" s="353"/>
      <c r="S18" s="353"/>
      <c r="T18" s="353"/>
      <c r="U18" s="353"/>
      <c r="V18" s="353"/>
      <c r="W18" s="353"/>
      <c r="X18" s="353"/>
      <c r="AB18" s="351"/>
    </row>
    <row r="19" spans="1:28" s="330" customFormat="1" ht="10.5" customHeight="1" thickBot="1">
      <c r="A19" s="427"/>
      <c r="B19" s="761"/>
      <c r="C19" s="762"/>
      <c r="D19" s="761"/>
      <c r="H19" s="851"/>
      <c r="I19" s="852"/>
      <c r="J19" s="853"/>
      <c r="K19" s="854"/>
      <c r="L19" s="428"/>
      <c r="M19" s="428"/>
      <c r="N19" s="428"/>
      <c r="O19" s="428"/>
      <c r="P19" s="427"/>
      <c r="Q19" s="430"/>
      <c r="R19" s="353"/>
      <c r="S19" s="353"/>
      <c r="T19" s="353"/>
      <c r="U19" s="353"/>
      <c r="V19" s="353"/>
      <c r="W19" s="353"/>
      <c r="X19" s="353"/>
      <c r="AB19" s="351"/>
    </row>
    <row r="20" spans="1:28" s="330" customFormat="1" ht="19.5" thickBot="1">
      <c r="A20" s="427"/>
      <c r="B20" s="384" t="s">
        <v>965</v>
      </c>
      <c r="C20" s="383"/>
      <c r="D20" s="383"/>
      <c r="E20" s="383"/>
      <c r="F20" s="383"/>
      <c r="G20" s="383"/>
      <c r="H20" s="890" t="s">
        <v>269</v>
      </c>
      <c r="I20" s="872"/>
      <c r="J20" s="873"/>
      <c r="K20" s="873"/>
      <c r="L20" s="856" t="s">
        <v>256</v>
      </c>
      <c r="M20" s="383"/>
      <c r="N20" s="385"/>
      <c r="O20" s="1281"/>
      <c r="P20" s="427"/>
      <c r="Q20" s="430"/>
      <c r="R20" s="899" t="s">
        <v>117</v>
      </c>
      <c r="S20" s="435"/>
      <c r="T20" s="435"/>
      <c r="U20" s="435"/>
      <c r="AB20" s="351"/>
    </row>
    <row r="21" spans="1:28" s="330" customFormat="1" ht="15" customHeight="1">
      <c r="A21" s="427"/>
      <c r="B21" s="747"/>
      <c r="C21" s="428"/>
      <c r="D21" s="428"/>
      <c r="E21" s="428"/>
      <c r="F21" s="428"/>
      <c r="G21" s="428"/>
      <c r="H21" s="1248"/>
      <c r="I21" s="1249"/>
      <c r="J21" s="428"/>
      <c r="K21" s="1250"/>
      <c r="L21" s="1251"/>
      <c r="M21" s="750"/>
      <c r="N21" s="750"/>
      <c r="O21" s="1252"/>
      <c r="P21" s="427"/>
      <c r="R21" s="350"/>
      <c r="S21" s="349" t="s">
        <v>391</v>
      </c>
      <c r="T21" s="349" t="s">
        <v>397</v>
      </c>
      <c r="U21" s="349" t="s">
        <v>398</v>
      </c>
      <c r="V21" s="351"/>
      <c r="W21" s="349" t="s">
        <v>390</v>
      </c>
      <c r="X21" s="349"/>
      <c r="Y21" s="351"/>
      <c r="Z21" s="349" t="s">
        <v>454</v>
      </c>
      <c r="AA21" s="349"/>
      <c r="AB21" s="351"/>
    </row>
    <row r="22" spans="1:28" s="330" customFormat="1" ht="15" customHeight="1">
      <c r="A22" s="427"/>
      <c r="B22" s="431"/>
      <c r="C22" s="1739" t="e">
        <f>S13</f>
        <v>#VALUE!</v>
      </c>
      <c r="H22" s="891"/>
      <c r="I22" s="892"/>
      <c r="J22" s="893"/>
      <c r="K22" s="894"/>
      <c r="L22" s="1253"/>
      <c r="M22" s="750"/>
      <c r="N22" s="750"/>
      <c r="O22" s="1252"/>
      <c r="P22" s="427"/>
      <c r="R22" s="350" t="s">
        <v>337</v>
      </c>
      <c r="S22" s="352"/>
      <c r="T22" s="369" t="e">
        <f>S11</f>
        <v>#VALUE!</v>
      </c>
      <c r="U22" s="352">
        <v>0</v>
      </c>
      <c r="V22" s="351"/>
      <c r="W22" s="352">
        <v>50</v>
      </c>
      <c r="X22" s="352">
        <v>50</v>
      </c>
      <c r="Y22" s="351"/>
      <c r="Z22" s="352">
        <v>0</v>
      </c>
      <c r="AA22" s="352">
        <v>100</v>
      </c>
      <c r="AB22" s="351"/>
    </row>
    <row r="23" spans="1:28" s="330" customFormat="1" ht="15" customHeight="1">
      <c r="A23" s="427"/>
      <c r="B23" s="431"/>
      <c r="H23" s="891"/>
      <c r="J23" s="893"/>
      <c r="K23" s="894"/>
      <c r="L23" s="1253"/>
      <c r="M23" s="750"/>
      <c r="N23" s="750"/>
      <c r="O23" s="1252"/>
      <c r="P23" s="427"/>
      <c r="R23" s="350" t="s">
        <v>339</v>
      </c>
      <c r="S23" s="352"/>
      <c r="T23" s="369">
        <f>S10</f>
        <v>47.125000000000007</v>
      </c>
      <c r="U23" s="352">
        <v>0</v>
      </c>
      <c r="V23" s="351"/>
      <c r="W23" s="352">
        <v>0</v>
      </c>
      <c r="X23" s="352">
        <v>100</v>
      </c>
      <c r="Y23" s="351"/>
      <c r="Z23" s="352">
        <v>50</v>
      </c>
      <c r="AA23" s="352">
        <v>50</v>
      </c>
      <c r="AB23" s="351"/>
    </row>
    <row r="24" spans="1:28" s="330" customFormat="1" ht="15" customHeight="1">
      <c r="A24" s="427"/>
      <c r="B24" s="887"/>
      <c r="C24" s="888"/>
      <c r="D24" s="888"/>
      <c r="E24" s="888"/>
      <c r="F24" s="888"/>
      <c r="G24" s="889"/>
      <c r="H24" s="1254"/>
      <c r="I24" s="1255"/>
      <c r="J24" s="1256"/>
      <c r="K24" s="1257"/>
      <c r="L24" s="1258"/>
      <c r="M24" s="750"/>
      <c r="N24" s="357"/>
      <c r="O24" s="1252"/>
      <c r="P24" s="427"/>
      <c r="R24" s="352">
        <v>0</v>
      </c>
      <c r="S24" s="349" t="e">
        <f>T22</f>
        <v>#VALUE!</v>
      </c>
      <c r="T24" s="755" t="e">
        <f>T22</f>
        <v>#VALUE!</v>
      </c>
      <c r="U24" s="349">
        <v>0.1</v>
      </c>
      <c r="V24" s="351"/>
      <c r="W24" s="351"/>
      <c r="X24" s="351"/>
      <c r="Y24" s="351"/>
      <c r="Z24" s="351"/>
      <c r="AA24" s="351"/>
      <c r="AB24" s="351"/>
    </row>
    <row r="25" spans="1:28" s="330" customFormat="1" ht="15" customHeight="1">
      <c r="A25" s="427"/>
      <c r="B25" s="431"/>
      <c r="H25" s="1315" t="str">
        <f>U35</f>
        <v>戸建標準計算</v>
      </c>
      <c r="J25" s="893"/>
      <c r="K25" s="893"/>
      <c r="L25" s="431"/>
      <c r="O25" s="432"/>
      <c r="P25" s="427"/>
      <c r="R25" s="352">
        <v>0</v>
      </c>
      <c r="S25" s="349">
        <v>0</v>
      </c>
      <c r="T25" s="349">
        <f>T23</f>
        <v>47.125000000000007</v>
      </c>
      <c r="U25" s="756">
        <f>T23</f>
        <v>47.125000000000007</v>
      </c>
      <c r="V25" s="351"/>
      <c r="W25" s="351"/>
      <c r="X25" s="351"/>
      <c r="Y25" s="351"/>
      <c r="Z25" s="351"/>
      <c r="AA25" s="351"/>
      <c r="AB25" s="351"/>
    </row>
    <row r="26" spans="1:28" s="330" customFormat="1" ht="15" customHeight="1">
      <c r="A26" s="427"/>
      <c r="B26" s="431"/>
      <c r="H26" s="891"/>
      <c r="J26" s="893"/>
      <c r="K26" s="894"/>
      <c r="L26" s="1259"/>
      <c r="M26" s="1260"/>
      <c r="N26" s="1261"/>
      <c r="O26" s="1262"/>
      <c r="P26" s="427"/>
      <c r="R26" s="885"/>
      <c r="S26" s="754"/>
      <c r="T26" s="754"/>
      <c r="U26" s="886"/>
      <c r="V26" s="351"/>
      <c r="W26" s="351"/>
      <c r="X26" s="351"/>
      <c r="Y26" s="351"/>
      <c r="Z26" s="351"/>
      <c r="AA26" s="351"/>
      <c r="AB26" s="351"/>
    </row>
    <row r="27" spans="1:28" s="330" customFormat="1" ht="15" customHeight="1">
      <c r="A27" s="427"/>
      <c r="B27" s="431"/>
      <c r="H27" s="891"/>
      <c r="J27" s="893"/>
      <c r="K27" s="894"/>
      <c r="L27" s="1259"/>
      <c r="M27" s="1260"/>
      <c r="N27" s="1261"/>
      <c r="O27" s="1262"/>
      <c r="P27" s="427"/>
      <c r="R27" s="757" t="s">
        <v>720</v>
      </c>
      <c r="S27" s="349" t="s">
        <v>721</v>
      </c>
      <c r="T27" s="758">
        <v>0</v>
      </c>
      <c r="U27" s="758">
        <f>100/6</f>
        <v>16.666666666666668</v>
      </c>
      <c r="V27" s="759">
        <f>U27*2</f>
        <v>33.333333333333336</v>
      </c>
      <c r="W27" s="758">
        <f>U27*3</f>
        <v>50</v>
      </c>
      <c r="X27" s="758">
        <f>U27*4</f>
        <v>66.666666666666671</v>
      </c>
      <c r="Y27" s="758">
        <f>U27*5</f>
        <v>83.333333333333343</v>
      </c>
      <c r="Z27" s="758">
        <v>100</v>
      </c>
      <c r="AA27" s="351"/>
      <c r="AB27" s="351"/>
    </row>
    <row r="28" spans="1:28" s="330" customFormat="1" ht="15" customHeight="1">
      <c r="A28" s="427"/>
      <c r="B28" s="431"/>
      <c r="H28" s="891"/>
      <c r="J28" s="893"/>
      <c r="K28" s="894"/>
      <c r="L28" s="1263"/>
      <c r="M28" s="1264"/>
      <c r="N28" s="1265"/>
      <c r="O28" s="1266"/>
      <c r="P28" s="427"/>
      <c r="R28" s="757"/>
      <c r="S28" s="349" t="s">
        <v>722</v>
      </c>
      <c r="T28" s="758">
        <v>100</v>
      </c>
      <c r="U28" s="758">
        <v>100</v>
      </c>
      <c r="V28" s="758">
        <v>100</v>
      </c>
      <c r="W28" s="758">
        <v>100</v>
      </c>
      <c r="X28" s="758">
        <v>100</v>
      </c>
      <c r="Y28" s="758">
        <v>100</v>
      </c>
      <c r="Z28" s="758">
        <v>100</v>
      </c>
      <c r="AA28" s="351"/>
      <c r="AB28" s="351"/>
    </row>
    <row r="29" spans="1:28" s="330" customFormat="1" ht="15" customHeight="1">
      <c r="A29" s="427"/>
      <c r="B29" s="431"/>
      <c r="H29" s="891"/>
      <c r="J29" s="893"/>
      <c r="K29" s="894"/>
      <c r="L29" s="1259"/>
      <c r="M29" s="1260"/>
      <c r="N29" s="1261"/>
      <c r="O29" s="1262"/>
      <c r="P29" s="427"/>
      <c r="R29" s="757">
        <v>3</v>
      </c>
      <c r="S29" s="349" t="s">
        <v>723</v>
      </c>
      <c r="T29" s="758">
        <v>50</v>
      </c>
      <c r="U29" s="758">
        <f t="shared" ref="U29:V32" si="0">U$27*$R29</f>
        <v>50</v>
      </c>
      <c r="V29" s="758">
        <f t="shared" si="0"/>
        <v>100</v>
      </c>
      <c r="W29" s="758">
        <v>100</v>
      </c>
      <c r="X29" s="758">
        <v>100</v>
      </c>
      <c r="Y29" s="758">
        <v>100</v>
      </c>
      <c r="Z29" s="758">
        <v>100</v>
      </c>
      <c r="AA29" s="351"/>
      <c r="AB29" s="351"/>
    </row>
    <row r="30" spans="1:28" s="330" customFormat="1" ht="15" customHeight="1">
      <c r="A30" s="427"/>
      <c r="B30" s="431"/>
      <c r="H30" s="891"/>
      <c r="J30" s="893"/>
      <c r="K30" s="894"/>
      <c r="L30" s="1259"/>
      <c r="M30" s="1260"/>
      <c r="N30" s="1261"/>
      <c r="O30" s="1262"/>
      <c r="P30" s="427"/>
      <c r="R30" s="757">
        <v>1.5</v>
      </c>
      <c r="S30" s="349" t="s">
        <v>724</v>
      </c>
      <c r="T30" s="758">
        <v>0</v>
      </c>
      <c r="U30" s="758">
        <f t="shared" si="0"/>
        <v>25</v>
      </c>
      <c r="V30" s="758">
        <f t="shared" si="0"/>
        <v>50</v>
      </c>
      <c r="W30" s="758">
        <f t="shared" ref="W30:X32" si="1">W$27*$R30</f>
        <v>75</v>
      </c>
      <c r="X30" s="758">
        <f t="shared" si="1"/>
        <v>100</v>
      </c>
      <c r="Y30" s="758">
        <v>100</v>
      </c>
      <c r="Z30" s="758">
        <v>100</v>
      </c>
      <c r="AA30" s="351"/>
      <c r="AB30" s="351"/>
    </row>
    <row r="31" spans="1:28" s="330" customFormat="1" ht="15" customHeight="1">
      <c r="A31" s="427"/>
      <c r="B31" s="431"/>
      <c r="H31" s="2334"/>
      <c r="J31" s="893"/>
      <c r="K31" s="894"/>
      <c r="L31" s="1259"/>
      <c r="M31" s="1260"/>
      <c r="N31" s="1261"/>
      <c r="O31" s="1262"/>
      <c r="P31" s="427"/>
      <c r="R31" s="757">
        <v>1</v>
      </c>
      <c r="S31" s="349" t="s">
        <v>725</v>
      </c>
      <c r="T31" s="758">
        <v>0</v>
      </c>
      <c r="U31" s="758">
        <f t="shared" si="0"/>
        <v>16.666666666666668</v>
      </c>
      <c r="V31" s="758">
        <f t="shared" si="0"/>
        <v>33.333333333333336</v>
      </c>
      <c r="W31" s="758">
        <f t="shared" si="1"/>
        <v>50</v>
      </c>
      <c r="X31" s="758">
        <f t="shared" si="1"/>
        <v>66.666666666666671</v>
      </c>
      <c r="Y31" s="758">
        <f>Y$27*$R31</f>
        <v>83.333333333333343</v>
      </c>
      <c r="Z31" s="758">
        <f>Z$27*$R31</f>
        <v>100</v>
      </c>
      <c r="AA31" s="351"/>
      <c r="AB31" s="351"/>
    </row>
    <row r="32" spans="1:28" s="330" customFormat="1" ht="15" customHeight="1">
      <c r="A32" s="427"/>
      <c r="B32" s="431"/>
      <c r="H32" s="2334"/>
      <c r="I32" s="892"/>
      <c r="J32" s="893"/>
      <c r="K32" s="894"/>
      <c r="L32" s="1259"/>
      <c r="M32" s="750"/>
      <c r="N32" s="750"/>
      <c r="O32" s="1252"/>
      <c r="P32" s="427"/>
      <c r="R32" s="757">
        <v>0.5</v>
      </c>
      <c r="S32" s="349" t="s">
        <v>726</v>
      </c>
      <c r="T32" s="758">
        <v>0</v>
      </c>
      <c r="U32" s="758">
        <f t="shared" si="0"/>
        <v>8.3333333333333339</v>
      </c>
      <c r="V32" s="758">
        <f t="shared" si="0"/>
        <v>16.666666666666668</v>
      </c>
      <c r="W32" s="758">
        <f t="shared" si="1"/>
        <v>25</v>
      </c>
      <c r="X32" s="758">
        <f t="shared" si="1"/>
        <v>33.333333333333336</v>
      </c>
      <c r="Y32" s="758">
        <f>Y$27*$R32</f>
        <v>41.666666666666671</v>
      </c>
      <c r="Z32" s="758">
        <f>Z$27*$R32</f>
        <v>50</v>
      </c>
      <c r="AA32" s="351"/>
      <c r="AB32" s="351"/>
    </row>
    <row r="33" spans="1:35" s="330" customFormat="1" ht="15" customHeight="1">
      <c r="A33" s="70"/>
      <c r="B33" s="431"/>
      <c r="H33" s="1267"/>
      <c r="I33" s="1268"/>
      <c r="J33" s="1268"/>
      <c r="K33" s="1269"/>
      <c r="L33" s="1259"/>
      <c r="M33" s="750"/>
      <c r="N33" s="1270"/>
      <c r="O33" s="1252"/>
      <c r="P33" s="427"/>
      <c r="AA33" s="351"/>
      <c r="AB33" s="351"/>
    </row>
    <row r="34" spans="1:35" s="330" customFormat="1" ht="15" customHeight="1">
      <c r="A34" s="70"/>
      <c r="B34" s="431"/>
      <c r="H34" s="2308" t="str">
        <f>IF(U35=W35,X35,X36)</f>
        <v>このグラフは，LR3中の「地球温暖化への配慮」の内容を，一般的な住宅（参照値）と比べたライフサイクルCO2 排出量の目安で示したものです</v>
      </c>
      <c r="I34" s="2309"/>
      <c r="J34" s="2309"/>
      <c r="K34" s="2310"/>
      <c r="L34" s="1259"/>
      <c r="M34" s="750"/>
      <c r="N34" s="1271"/>
      <c r="O34" s="1252"/>
      <c r="P34" s="427"/>
      <c r="AA34" s="351"/>
      <c r="AB34" s="351"/>
    </row>
    <row r="35" spans="1:35" s="330" customFormat="1" ht="27.75">
      <c r="A35" s="70"/>
      <c r="B35" s="431"/>
      <c r="C35" s="825"/>
      <c r="H35" s="2308"/>
      <c r="I35" s="2309"/>
      <c r="J35" s="2309"/>
      <c r="K35" s="2310"/>
      <c r="L35" s="1258"/>
      <c r="M35" s="1272"/>
      <c r="N35" s="750"/>
      <c r="O35" s="1252"/>
      <c r="P35" s="427"/>
      <c r="R35" s="350" t="s">
        <v>372</v>
      </c>
      <c r="S35" s="1279" t="e">
        <f>IF(T35&lt;=0,1,IF(T35&lt;=0.5,0.8,IF(T35&lt;=0.75,0.6,IF(T35&lt;=1,0.4,0.2))))</f>
        <v>#VALUE!</v>
      </c>
      <c r="T35" s="1280" t="e">
        <f>IF(U35=W35,AB41,AB42)</f>
        <v>#VALUE!</v>
      </c>
      <c r="U35" s="1115" t="str">
        <f>メイン!C35</f>
        <v>戸建標準計算</v>
      </c>
      <c r="V35" s="1288" t="s">
        <v>805</v>
      </c>
      <c r="W35" s="987" t="s">
        <v>259</v>
      </c>
      <c r="X35" s="987" t="s">
        <v>1232</v>
      </c>
      <c r="Y35" s="1280"/>
      <c r="Z35" s="1280"/>
      <c r="AA35" s="351"/>
      <c r="AB35" s="351"/>
    </row>
    <row r="36" spans="1:35" s="330" customFormat="1" ht="15" thickBot="1">
      <c r="A36" s="70"/>
      <c r="B36" s="434"/>
      <c r="C36" s="429"/>
      <c r="D36" s="429"/>
      <c r="E36" s="429"/>
      <c r="F36" s="429"/>
      <c r="G36" s="429"/>
      <c r="H36" s="2311"/>
      <c r="I36" s="2312"/>
      <c r="J36" s="2312"/>
      <c r="K36" s="2313"/>
      <c r="L36" s="1273"/>
      <c r="M36" s="1274"/>
      <c r="N36" s="1275"/>
      <c r="O36" s="1276"/>
      <c r="P36" s="427"/>
      <c r="R36" s="350" t="s">
        <v>115</v>
      </c>
      <c r="S36" s="752" t="e">
        <f>1-S35</f>
        <v>#VALUE!</v>
      </c>
      <c r="T36" s="1280"/>
      <c r="U36" s="1115" t="s">
        <v>261</v>
      </c>
      <c r="V36" s="1289" t="str">
        <f>IF(U35=W36,V35,"")</f>
        <v/>
      </c>
      <c r="W36" s="987" t="s">
        <v>260</v>
      </c>
      <c r="X36" s="987" t="s">
        <v>1233</v>
      </c>
      <c r="Y36" s="1280"/>
      <c r="Z36" s="1280"/>
      <c r="AA36" s="351"/>
      <c r="AB36" s="351"/>
    </row>
    <row r="37" spans="1:35" s="330" customFormat="1" ht="19.5" customHeight="1" thickBot="1">
      <c r="A37" s="427"/>
      <c r="B37" s="386" t="s">
        <v>185</v>
      </c>
      <c r="C37" s="387"/>
      <c r="D37" s="388"/>
      <c r="E37" s="387"/>
      <c r="F37" s="387"/>
      <c r="G37" s="387"/>
      <c r="H37" s="389"/>
      <c r="I37" s="390"/>
      <c r="J37" s="387"/>
      <c r="K37" s="387"/>
      <c r="L37" s="387"/>
      <c r="M37" s="391"/>
      <c r="N37" s="391"/>
      <c r="O37" s="392"/>
      <c r="P37" s="427"/>
      <c r="Q37" s="430"/>
      <c r="AA37" s="351"/>
      <c r="AB37" s="351"/>
    </row>
    <row r="38" spans="1:35" s="330" customFormat="1" ht="18" customHeight="1">
      <c r="A38" s="427"/>
      <c r="B38" s="723" t="s">
        <v>205</v>
      </c>
      <c r="C38" s="720"/>
      <c r="D38" s="720"/>
      <c r="E38" s="721"/>
      <c r="F38" s="720"/>
      <c r="G38" s="720"/>
      <c r="H38" s="720"/>
      <c r="I38" s="720"/>
      <c r="J38" s="720"/>
      <c r="K38" s="720"/>
      <c r="L38" s="722"/>
      <c r="M38" s="66" t="s">
        <v>203</v>
      </c>
      <c r="N38" s="393">
        <f>スコア!S8</f>
        <v>2.8</v>
      </c>
      <c r="O38" s="338"/>
      <c r="P38" s="427"/>
      <c r="Q38" s="430"/>
      <c r="R38" s="896" t="s">
        <v>122</v>
      </c>
      <c r="S38" s="898" t="s">
        <v>123</v>
      </c>
      <c r="T38" s="898" t="s">
        <v>284</v>
      </c>
      <c r="U38" s="898" t="s">
        <v>124</v>
      </c>
      <c r="V38" s="898" t="s">
        <v>370</v>
      </c>
      <c r="W38" s="898" t="s">
        <v>371</v>
      </c>
      <c r="X38" s="898" t="s">
        <v>304</v>
      </c>
      <c r="Y38" s="1284" t="s">
        <v>305</v>
      </c>
      <c r="Z38" s="1284" t="s">
        <v>306</v>
      </c>
      <c r="AA38" s="1284" t="s">
        <v>307</v>
      </c>
      <c r="AB38" s="898" t="s">
        <v>121</v>
      </c>
      <c r="AC38" s="433" t="s">
        <v>120</v>
      </c>
      <c r="AF38" s="433" t="s">
        <v>392</v>
      </c>
      <c r="AG38" s="350" t="s">
        <v>393</v>
      </c>
      <c r="AH38" s="350" t="s">
        <v>394</v>
      </c>
      <c r="AI38" s="433" t="s">
        <v>395</v>
      </c>
    </row>
    <row r="39" spans="1:35" s="330" customFormat="1" ht="15">
      <c r="A39" s="427"/>
      <c r="B39" s="436"/>
      <c r="C39" s="68" t="s">
        <v>207</v>
      </c>
      <c r="D39" s="69"/>
      <c r="E39" s="69"/>
      <c r="F39" s="69"/>
      <c r="G39" s="69"/>
      <c r="H39" s="69" t="s">
        <v>208</v>
      </c>
      <c r="I39" s="70"/>
      <c r="J39" s="70"/>
      <c r="K39" s="70"/>
      <c r="L39" s="71" t="s">
        <v>209</v>
      </c>
      <c r="M39" s="70"/>
      <c r="N39" s="70"/>
      <c r="O39" s="72"/>
      <c r="P39" s="427"/>
      <c r="Q39" s="430"/>
      <c r="R39" s="433" t="s">
        <v>119</v>
      </c>
      <c r="S39" s="1277">
        <f>IF($U$35=$W$35,CO2計算!P77,CO2独自計算!$E6)</f>
        <v>6.04</v>
      </c>
      <c r="T39" s="1277">
        <f>IF($U$35=$W$35,CO2計算!P78,CO2独自計算!$E8)</f>
        <v>2.35</v>
      </c>
      <c r="U39" s="1277" t="e">
        <f>IF($U$35=$W$35,CO2計算!P79,CO2独自計算!$E10)</f>
        <v>#VALUE!</v>
      </c>
      <c r="V39" s="903"/>
      <c r="W39" s="903"/>
      <c r="X39" s="433"/>
      <c r="Y39" s="1285"/>
      <c r="Z39" s="1285"/>
      <c r="AA39" s="1285"/>
      <c r="AB39" s="897">
        <v>1</v>
      </c>
      <c r="AC39" s="433" t="e">
        <f>IF(COUNTIF(S39:W39,AD40)&gt;0,AD40,SUM(S39:W39))</f>
        <v>#VALUE!</v>
      </c>
      <c r="AF39" s="433">
        <v>0</v>
      </c>
      <c r="AG39" s="350">
        <v>0</v>
      </c>
      <c r="AH39" s="350" t="e">
        <f>MAX(AC39:AC42)</f>
        <v>#VALUE!</v>
      </c>
      <c r="AI39" s="433">
        <v>0</v>
      </c>
    </row>
    <row r="40" spans="1:35" s="330" customFormat="1" ht="15">
      <c r="A40" s="427"/>
      <c r="B40" s="431"/>
      <c r="C40" s="73"/>
      <c r="D40" s="74"/>
      <c r="E40" s="75"/>
      <c r="G40" s="69">
        <f>S45</f>
        <v>3</v>
      </c>
      <c r="I40" s="76"/>
      <c r="K40" s="912">
        <f>V45</f>
        <v>2.9</v>
      </c>
      <c r="M40" s="77"/>
      <c r="O40" s="914">
        <f>Y45</f>
        <v>2.6</v>
      </c>
      <c r="P40" s="427"/>
      <c r="R40" s="433" t="s">
        <v>366</v>
      </c>
      <c r="S40" s="1277" t="e">
        <f>IF($U$35=$W$35,CO2計算!M77,CO2独自計算!$G6)</f>
        <v>#DIV/0!</v>
      </c>
      <c r="T40" s="1277" t="e">
        <f>IF($U$35=$W$35,CO2計算!M78,CO2独自計算!$G8)</f>
        <v>#DIV/0!</v>
      </c>
      <c r="U40" s="1277" t="e">
        <f>IF($U$35=$W$35,CO2計算!M52,CO2独自計算!$G10)</f>
        <v>#VALUE!</v>
      </c>
      <c r="V40" s="903"/>
      <c r="W40" s="903"/>
      <c r="X40" s="1300" t="e">
        <f>IF(AC39&lt;AC40,0,IF(AF40&lt;0,0,AC39-AC40))</f>
        <v>#VALUE!</v>
      </c>
      <c r="Y40" s="1285"/>
      <c r="Z40" s="1285"/>
      <c r="AA40" s="1285"/>
      <c r="AB40" s="897" t="e">
        <f>(IF(AC39=AD40,AD40,ROUNDDOWN((AC40/AC39),2)))</f>
        <v>#VALUE!</v>
      </c>
      <c r="AC40" s="433" t="e">
        <f>IF(COUNTIF(S40:W40,AD40)&gt;0,AD40,SUM(S40:W40))</f>
        <v>#DIV/0!</v>
      </c>
      <c r="AD40" s="330" t="s">
        <v>503</v>
      </c>
      <c r="AF40" s="433" t="e">
        <f>IF(AC39&lt;AC40,0,IF(AC40&gt;0,0,IF(AC39&gt;0,AC40,AC40-AC39)))</f>
        <v>#VALUE!</v>
      </c>
      <c r="AG40" s="350" t="e">
        <f>IF(AC39&gt;0,0,AC39)</f>
        <v>#VALUE!</v>
      </c>
      <c r="AH40" s="350">
        <v>0</v>
      </c>
      <c r="AI40" s="433" t="e">
        <f>IF(AC39&lt;AC40,0,IF(AC39&lt;0,0,IF(AC40&lt;0,AC39,0)))</f>
        <v>#VALUE!</v>
      </c>
    </row>
    <row r="41" spans="1:35" s="330" customFormat="1" ht="15" customHeight="1">
      <c r="A41" s="427"/>
      <c r="B41" s="431"/>
      <c r="G41" s="61"/>
      <c r="H41" s="61"/>
      <c r="I41" s="62"/>
      <c r="J41" s="62"/>
      <c r="K41" s="61"/>
      <c r="L41" s="70"/>
      <c r="M41" s="70"/>
      <c r="N41" s="70"/>
      <c r="O41" s="72"/>
      <c r="P41" s="427"/>
      <c r="Q41" s="430"/>
      <c r="R41" s="433" t="s">
        <v>367</v>
      </c>
      <c r="S41" s="1277"/>
      <c r="T41" s="1277"/>
      <c r="U41" s="1277"/>
      <c r="V41" s="1278" t="e">
        <f>IF($U$35=$W$35,CO2計算!M69,CO2独自計算!$G11)+S40+T40</f>
        <v>#VALUE!</v>
      </c>
      <c r="W41" s="903"/>
      <c r="X41" s="1300" t="e">
        <f>IF(AC40&lt;AC41,0,IF(AF41&lt;0,0,AC40-AC41))</f>
        <v>#DIV/0!</v>
      </c>
      <c r="Y41" s="1285"/>
      <c r="Z41" s="1285"/>
      <c r="AA41" s="1285"/>
      <c r="AB41" s="897" t="e">
        <f>IF(OR(AC39=AD41,AC41=AD41),AD41,ROUNDDOWN(AC41/AC39,2))</f>
        <v>#VALUE!</v>
      </c>
      <c r="AC41" s="433" t="e">
        <f>IF(COUNTIF(S41:W41,AD41)&gt;0,AD41,SUM(S41:W41))</f>
        <v>#VALUE!</v>
      </c>
      <c r="AD41" s="330" t="s">
        <v>503</v>
      </c>
      <c r="AF41" s="433" t="e">
        <f>IF(AC40&lt;AC41,0,IF(AC41&gt;0,0,IF(AC40&gt;0,AC41,AC41-AC40)))</f>
        <v>#DIV/0!</v>
      </c>
      <c r="AG41" s="350" t="e">
        <f>IF(AC40&gt;0,0,AC40)</f>
        <v>#DIV/0!</v>
      </c>
      <c r="AH41" s="350">
        <v>0</v>
      </c>
      <c r="AI41" s="433" t="e">
        <f>IF(AC40&lt;AC41,0,IF(AC40&lt;0,0,IF(AC41&lt;0,AC40,0)))</f>
        <v>#DIV/0!</v>
      </c>
    </row>
    <row r="42" spans="1:35" s="330" customFormat="1" ht="15" customHeight="1">
      <c r="A42" s="427"/>
      <c r="B42" s="431"/>
      <c r="G42" s="61"/>
      <c r="H42" s="61"/>
      <c r="I42" s="62"/>
      <c r="J42" s="62"/>
      <c r="K42" s="61"/>
      <c r="L42" s="70"/>
      <c r="M42" s="70"/>
      <c r="N42" s="70"/>
      <c r="O42" s="72"/>
      <c r="P42" s="427"/>
      <c r="Q42" s="430"/>
      <c r="R42" s="433" t="s">
        <v>368</v>
      </c>
      <c r="S42" s="1277"/>
      <c r="T42" s="1277"/>
      <c r="U42" s="1277"/>
      <c r="V42" s="1278"/>
      <c r="W42" s="1290" t="e">
        <f>IF($U$35=$W$35,CO2計算!M69,CO2独自計算!$G15)+S40+T40</f>
        <v>#VALUE!</v>
      </c>
      <c r="X42" s="1300" t="e">
        <f>IF(AC41&lt;AC42,0,IF(AF42&lt;0,0,AC41-AC42))</f>
        <v>#VALUE!</v>
      </c>
      <c r="Y42" s="1285"/>
      <c r="Z42" s="1285"/>
      <c r="AA42" s="1285"/>
      <c r="AB42" s="897" t="e">
        <f>IF(OR(AC39=AD42,AC42=AD42),AD42,ROUNDDOWN(AC42/AC39,2))</f>
        <v>#VALUE!</v>
      </c>
      <c r="AC42" s="433" t="e">
        <f>IF(COUNTIF(S42:W42,AD42)&gt;0,AD42,SUM(S42:W42))</f>
        <v>#VALUE!</v>
      </c>
      <c r="AD42" s="330" t="s">
        <v>503</v>
      </c>
      <c r="AF42" s="433" t="e">
        <f>IF(AC41&lt;AC42,0,IF(AC42&gt;0,0,IF(AC41&gt;0,AC42,AC42-AC41)))</f>
        <v>#VALUE!</v>
      </c>
      <c r="AG42" s="350" t="e">
        <f>IF(AC41&gt;0,0,AC41)</f>
        <v>#VALUE!</v>
      </c>
      <c r="AH42" s="350">
        <v>0</v>
      </c>
      <c r="AI42" s="433" t="e">
        <f>IF(AC41&lt;AC42,0,IF(AC41&lt;0,0,IF(AC42&lt;0,AC41,0)))</f>
        <v>#VALUE!</v>
      </c>
    </row>
    <row r="43" spans="1:35" s="330" customFormat="1" ht="15" customHeight="1">
      <c r="A43" s="427"/>
      <c r="B43" s="431"/>
      <c r="G43" s="61"/>
      <c r="H43" s="61"/>
      <c r="I43" s="62"/>
      <c r="J43" s="62"/>
      <c r="K43" s="61"/>
      <c r="L43" s="70"/>
      <c r="M43" s="70"/>
      <c r="N43" s="70"/>
      <c r="O43" s="72"/>
      <c r="P43" s="427"/>
      <c r="Q43" s="430"/>
      <c r="W43" s="1301"/>
      <c r="X43" s="1301"/>
      <c r="AA43" s="351"/>
      <c r="AB43" s="351"/>
      <c r="AC43" s="1301"/>
    </row>
    <row r="44" spans="1:35" s="330" customFormat="1" ht="15" customHeight="1">
      <c r="A44" s="427"/>
      <c r="B44" s="431"/>
      <c r="G44" s="61"/>
      <c r="H44" s="61"/>
      <c r="I44" s="62"/>
      <c r="J44" s="62"/>
      <c r="K44" s="61"/>
      <c r="L44" s="70"/>
      <c r="M44" s="70"/>
      <c r="N44" s="70"/>
      <c r="O44" s="72"/>
      <c r="P44" s="427"/>
      <c r="Q44" s="430"/>
      <c r="R44" s="350"/>
      <c r="S44" s="350" t="s">
        <v>727</v>
      </c>
      <c r="T44" s="350" t="s">
        <v>728</v>
      </c>
      <c r="U44" s="350"/>
      <c r="V44" s="350" t="s">
        <v>727</v>
      </c>
      <c r="W44" s="350" t="s">
        <v>728</v>
      </c>
      <c r="X44" s="350"/>
      <c r="Y44" s="350" t="s">
        <v>727</v>
      </c>
      <c r="Z44" s="350" t="s">
        <v>728</v>
      </c>
      <c r="AA44" s="351"/>
      <c r="AB44" s="351"/>
    </row>
    <row r="45" spans="1:35" s="330" customFormat="1" ht="15" customHeight="1">
      <c r="A45" s="427"/>
      <c r="B45" s="431"/>
      <c r="G45" s="61"/>
      <c r="H45" s="61"/>
      <c r="I45" s="62"/>
      <c r="J45" s="62"/>
      <c r="K45" s="61"/>
      <c r="L45" s="70"/>
      <c r="M45" s="70"/>
      <c r="N45" s="70"/>
      <c r="O45" s="72"/>
      <c r="P45" s="427"/>
      <c r="Q45" s="430"/>
      <c r="R45" s="346" t="s">
        <v>195</v>
      </c>
      <c r="S45" s="356">
        <f>スコア!S9</f>
        <v>3</v>
      </c>
      <c r="T45" s="350">
        <f>スコア!Y9</f>
        <v>3</v>
      </c>
      <c r="U45" s="349" t="s">
        <v>729</v>
      </c>
      <c r="V45" s="496">
        <f>スコア!S29</f>
        <v>2.9</v>
      </c>
      <c r="W45" s="350">
        <f>スコア!Y29</f>
        <v>2.95</v>
      </c>
      <c r="X45" s="346" t="s">
        <v>730</v>
      </c>
      <c r="Y45" s="335">
        <f>スコア!S44</f>
        <v>2.6</v>
      </c>
      <c r="Z45" s="335">
        <f>スコア!Y44</f>
        <v>2.5999999999999996</v>
      </c>
      <c r="AA45" s="351"/>
      <c r="AB45" s="351"/>
    </row>
    <row r="46" spans="1:35" s="330" customFormat="1" ht="15" customHeight="1">
      <c r="A46" s="427"/>
      <c r="B46" s="431"/>
      <c r="G46" s="78"/>
      <c r="H46" s="78"/>
      <c r="I46" s="62"/>
      <c r="J46" s="62"/>
      <c r="K46" s="61"/>
      <c r="L46" s="70"/>
      <c r="M46" s="70"/>
      <c r="N46" s="70"/>
      <c r="O46" s="72"/>
      <c r="P46" s="427"/>
      <c r="Q46" s="430"/>
      <c r="AA46" s="351"/>
      <c r="AB46" s="351"/>
    </row>
    <row r="47" spans="1:35" s="330" customFormat="1" ht="15" customHeight="1">
      <c r="A47" s="427"/>
      <c r="B47" s="431"/>
      <c r="G47" s="78"/>
      <c r="H47" s="78"/>
      <c r="I47" s="62"/>
      <c r="J47" s="62"/>
      <c r="K47" s="61"/>
      <c r="L47" s="70"/>
      <c r="M47" s="70"/>
      <c r="N47" s="70"/>
      <c r="O47" s="72"/>
      <c r="P47" s="427"/>
      <c r="Q47" s="430"/>
      <c r="R47" s="350"/>
      <c r="S47" s="350" t="s">
        <v>731</v>
      </c>
      <c r="T47" s="350" t="s">
        <v>732</v>
      </c>
      <c r="U47" s="350"/>
      <c r="V47" s="350" t="s">
        <v>731</v>
      </c>
      <c r="W47" s="350" t="s">
        <v>732</v>
      </c>
      <c r="X47" s="350"/>
      <c r="Y47" s="437" t="s">
        <v>731</v>
      </c>
      <c r="Z47" s="350" t="s">
        <v>732</v>
      </c>
      <c r="AA47" s="351"/>
      <c r="AB47" s="351"/>
    </row>
    <row r="48" spans="1:35" s="330" customFormat="1" ht="15" customHeight="1">
      <c r="A48" s="427"/>
      <c r="B48" s="431"/>
      <c r="G48" s="63"/>
      <c r="H48" s="63"/>
      <c r="I48" s="62"/>
      <c r="J48" s="79"/>
      <c r="K48" s="80"/>
      <c r="L48" s="81"/>
      <c r="M48" s="81"/>
      <c r="N48" s="81"/>
      <c r="O48" s="82"/>
      <c r="P48" s="70"/>
      <c r="Q48" s="430"/>
      <c r="R48" s="760" t="s">
        <v>733</v>
      </c>
      <c r="S48" s="356">
        <f>スコア!S10</f>
        <v>3</v>
      </c>
      <c r="T48" s="350" t="str">
        <f>IF(S48=0,"N.A.","")</f>
        <v/>
      </c>
      <c r="U48" s="349" t="s">
        <v>537</v>
      </c>
      <c r="V48" s="335">
        <f>スコア!S30</f>
        <v>2.9</v>
      </c>
      <c r="W48" s="350" t="str">
        <f>IF(V48=0,"N.A.","")</f>
        <v/>
      </c>
      <c r="X48" s="760" t="s">
        <v>330</v>
      </c>
      <c r="Y48" s="335">
        <f>スコア!S45</f>
        <v>3</v>
      </c>
      <c r="Z48" s="350" t="str">
        <f>IF(Y48=0,"N.A.","")</f>
        <v/>
      </c>
      <c r="AA48" s="351"/>
      <c r="AB48" s="351"/>
    </row>
    <row r="49" spans="1:28" s="330" customFormat="1" ht="18" customHeight="1">
      <c r="A49" s="427"/>
      <c r="B49" s="733" t="s">
        <v>206</v>
      </c>
      <c r="C49" s="734"/>
      <c r="D49" s="735"/>
      <c r="E49" s="736"/>
      <c r="F49" s="736"/>
      <c r="G49" s="736"/>
      <c r="H49" s="736"/>
      <c r="I49" s="736"/>
      <c r="J49" s="67"/>
      <c r="K49" s="67"/>
      <c r="L49" s="722"/>
      <c r="M49" s="66" t="s">
        <v>204</v>
      </c>
      <c r="N49" s="394" t="e">
        <f>スコア!S51</f>
        <v>#VALUE!</v>
      </c>
      <c r="O49" s="338"/>
      <c r="P49" s="427"/>
      <c r="Q49" s="430"/>
      <c r="R49" s="760" t="s">
        <v>734</v>
      </c>
      <c r="S49" s="356">
        <f>スコア!S20</f>
        <v>3</v>
      </c>
      <c r="T49" s="350" t="str">
        <f>IF(S49=0,"N.A.","")</f>
        <v/>
      </c>
      <c r="U49" s="349" t="s">
        <v>491</v>
      </c>
      <c r="V49" s="335">
        <f>スコア!S38</f>
        <v>3</v>
      </c>
      <c r="W49" s="350" t="str">
        <f>IF(V49=0,"N.A.","")</f>
        <v/>
      </c>
      <c r="X49" s="760" t="s">
        <v>369</v>
      </c>
      <c r="Y49" s="335">
        <f>スコア!S46</f>
        <v>3</v>
      </c>
      <c r="Z49" s="350" t="str">
        <f>IF(Y49=0,"N.A.","")</f>
        <v/>
      </c>
      <c r="AA49" s="351"/>
      <c r="AB49" s="351"/>
    </row>
    <row r="50" spans="1:28" s="330" customFormat="1" ht="15">
      <c r="A50" s="427"/>
      <c r="B50" s="961"/>
      <c r="C50" s="711" t="s">
        <v>211</v>
      </c>
      <c r="D50" s="711"/>
      <c r="E50" s="712"/>
      <c r="F50" s="711"/>
      <c r="G50" s="711"/>
      <c r="H50" s="711" t="s">
        <v>210</v>
      </c>
      <c r="J50" s="711"/>
      <c r="K50" s="713"/>
      <c r="L50" s="711" t="s">
        <v>217</v>
      </c>
      <c r="O50" s="432"/>
      <c r="P50" s="427"/>
      <c r="Q50" s="430"/>
      <c r="R50" s="760" t="s">
        <v>735</v>
      </c>
      <c r="S50" s="356">
        <f>スコア!S25</f>
        <v>3</v>
      </c>
      <c r="T50" s="350" t="str">
        <f>IF(S50=0,"N.A.","")</f>
        <v/>
      </c>
      <c r="U50" s="349" t="s">
        <v>332</v>
      </c>
      <c r="V50" s="335">
        <f>スコア!S41</f>
        <v>3</v>
      </c>
      <c r="W50" s="350" t="str">
        <f>IF(V50=0,"N.A.","")</f>
        <v/>
      </c>
      <c r="X50" s="760" t="s">
        <v>736</v>
      </c>
      <c r="Y50" s="335">
        <f>スコア!S49</f>
        <v>2</v>
      </c>
      <c r="Z50" s="350" t="str">
        <f>IF(Y50=0,"N.A.","")</f>
        <v/>
      </c>
      <c r="AA50" s="351"/>
      <c r="AB50" s="351"/>
    </row>
    <row r="51" spans="1:28" s="330" customFormat="1" ht="15">
      <c r="A51" s="70"/>
      <c r="B51" s="83"/>
      <c r="C51" s="73"/>
      <c r="D51" s="74"/>
      <c r="E51" s="75"/>
      <c r="G51" s="69">
        <f>S55</f>
        <v>4.3</v>
      </c>
      <c r="I51" s="76"/>
      <c r="K51" s="912">
        <f>V55</f>
        <v>3</v>
      </c>
      <c r="N51" s="69"/>
      <c r="O51" s="913" t="e">
        <f>Y55</f>
        <v>#VALUE!</v>
      </c>
      <c r="P51" s="70"/>
      <c r="Q51" s="430"/>
      <c r="R51" s="760" t="s">
        <v>737</v>
      </c>
      <c r="S51" s="356">
        <f>スコア!S28</f>
        <v>3</v>
      </c>
      <c r="T51" s="350" t="str">
        <f>IF(S51=0,"N.A.","")</f>
        <v/>
      </c>
      <c r="U51" s="351"/>
      <c r="V51" s="351"/>
      <c r="W51" s="351"/>
      <c r="X51" s="349" t="s">
        <v>738</v>
      </c>
      <c r="Y51" s="335">
        <f>スコア!S50</f>
        <v>2</v>
      </c>
      <c r="Z51" s="350" t="str">
        <f>IF(Y51=0,"N.A.","")</f>
        <v/>
      </c>
      <c r="AA51" s="351"/>
      <c r="AB51" s="351"/>
    </row>
    <row r="52" spans="1:28" s="330" customFormat="1" ht="14.25">
      <c r="A52" s="70"/>
      <c r="B52" s="83"/>
      <c r="C52" s="64"/>
      <c r="D52" s="64"/>
      <c r="E52" s="84"/>
      <c r="F52" s="63"/>
      <c r="G52" s="63"/>
      <c r="H52" s="63"/>
      <c r="I52" s="62"/>
      <c r="J52" s="62"/>
      <c r="K52" s="61"/>
      <c r="L52" s="61"/>
      <c r="M52" s="65"/>
      <c r="N52" s="65"/>
      <c r="O52" s="85"/>
      <c r="P52" s="70"/>
      <c r="Q52" s="430"/>
      <c r="R52" s="351"/>
      <c r="S52" s="351"/>
      <c r="T52" s="351"/>
      <c r="U52" s="351"/>
      <c r="V52" s="351"/>
      <c r="W52" s="351"/>
      <c r="X52" s="351"/>
      <c r="Y52" s="351"/>
      <c r="Z52" s="351"/>
      <c r="AA52" s="351"/>
      <c r="AB52" s="351"/>
    </row>
    <row r="53" spans="1:28" s="330" customFormat="1" ht="15.75" customHeight="1">
      <c r="A53" s="427"/>
      <c r="B53" s="83"/>
      <c r="C53" s="65"/>
      <c r="D53" s="86"/>
      <c r="E53" s="60"/>
      <c r="F53" s="61"/>
      <c r="G53" s="61"/>
      <c r="H53" s="61"/>
      <c r="I53" s="87"/>
      <c r="J53" s="62"/>
      <c r="K53" s="61"/>
      <c r="L53" s="61"/>
      <c r="M53" s="65"/>
      <c r="N53" s="65"/>
      <c r="O53" s="85"/>
      <c r="P53" s="427"/>
      <c r="Q53" s="430"/>
      <c r="AA53" s="351"/>
      <c r="AB53" s="351"/>
    </row>
    <row r="54" spans="1:28" s="330" customFormat="1" ht="15.75" customHeight="1">
      <c r="A54" s="427"/>
      <c r="B54" s="83"/>
      <c r="C54" s="58"/>
      <c r="D54" s="59"/>
      <c r="E54" s="60"/>
      <c r="F54" s="61"/>
      <c r="G54" s="61"/>
      <c r="H54" s="61"/>
      <c r="I54" s="87"/>
      <c r="J54" s="62"/>
      <c r="K54" s="61"/>
      <c r="L54" s="61"/>
      <c r="M54" s="65"/>
      <c r="N54" s="65"/>
      <c r="O54" s="85"/>
      <c r="P54" s="427"/>
      <c r="Q54" s="430"/>
      <c r="R54" s="350"/>
      <c r="S54" s="350" t="s">
        <v>739</v>
      </c>
      <c r="T54" s="350" t="s">
        <v>740</v>
      </c>
      <c r="U54" s="350"/>
      <c r="V54" s="350" t="s">
        <v>739</v>
      </c>
      <c r="W54" s="350" t="s">
        <v>740</v>
      </c>
      <c r="X54" s="350"/>
      <c r="Y54" s="350" t="s">
        <v>739</v>
      </c>
      <c r="Z54" s="350" t="s">
        <v>740</v>
      </c>
      <c r="AA54" s="351"/>
      <c r="AB54" s="351"/>
    </row>
    <row r="55" spans="1:28" s="330" customFormat="1" ht="15.75" customHeight="1">
      <c r="A55" s="427"/>
      <c r="B55" s="88"/>
      <c r="C55" s="58"/>
      <c r="D55" s="59"/>
      <c r="E55" s="60"/>
      <c r="F55" s="61"/>
      <c r="G55" s="61"/>
      <c r="H55" s="61"/>
      <c r="I55" s="87"/>
      <c r="J55" s="62"/>
      <c r="K55" s="61"/>
      <c r="L55" s="61"/>
      <c r="M55" s="65"/>
      <c r="N55" s="65"/>
      <c r="O55" s="85"/>
      <c r="P55" s="427"/>
      <c r="Q55" s="430"/>
      <c r="R55" s="349" t="s">
        <v>741</v>
      </c>
      <c r="S55" s="335">
        <f>スコア!S52</f>
        <v>4.3</v>
      </c>
      <c r="T55" s="335">
        <f>スコア!Y52</f>
        <v>4.3499999999999996</v>
      </c>
      <c r="U55" s="349" t="s">
        <v>326</v>
      </c>
      <c r="V55" s="348">
        <f>スコア!S62</f>
        <v>3</v>
      </c>
      <c r="W55" s="348">
        <f>スコア!Y62</f>
        <v>3.0000000000000009</v>
      </c>
      <c r="X55" s="826" t="s">
        <v>218</v>
      </c>
      <c r="Y55" s="335" t="e">
        <f>スコア!S79</f>
        <v>#VALUE!</v>
      </c>
      <c r="Z55" s="335" t="e">
        <f>スコア!Y79</f>
        <v>#VALUE!</v>
      </c>
      <c r="AA55" s="351"/>
      <c r="AB55" s="351"/>
    </row>
    <row r="56" spans="1:28" s="330" customFormat="1" ht="15.75" customHeight="1">
      <c r="A56" s="427"/>
      <c r="B56" s="88"/>
      <c r="C56" s="58"/>
      <c r="D56" s="59"/>
      <c r="E56" s="60"/>
      <c r="F56" s="61"/>
      <c r="G56" s="61"/>
      <c r="H56" s="61"/>
      <c r="I56" s="87"/>
      <c r="J56" s="62"/>
      <c r="K56" s="61"/>
      <c r="L56" s="61"/>
      <c r="M56" s="65"/>
      <c r="N56" s="65"/>
      <c r="O56" s="85"/>
      <c r="P56" s="427"/>
      <c r="Q56" s="430"/>
      <c r="Y56" s="438"/>
      <c r="AA56" s="351"/>
      <c r="AB56" s="351"/>
    </row>
    <row r="57" spans="1:28" s="330" customFormat="1" ht="15.75" customHeight="1">
      <c r="A57" s="427"/>
      <c r="B57" s="88"/>
      <c r="C57" s="58"/>
      <c r="D57" s="59"/>
      <c r="E57" s="60"/>
      <c r="F57" s="61"/>
      <c r="G57" s="61"/>
      <c r="H57" s="61"/>
      <c r="I57" s="87"/>
      <c r="J57" s="62"/>
      <c r="K57" s="61"/>
      <c r="L57" s="61"/>
      <c r="M57" s="65"/>
      <c r="N57" s="65"/>
      <c r="O57" s="85"/>
      <c r="P57" s="427"/>
      <c r="Q57" s="430"/>
      <c r="R57" s="350"/>
      <c r="S57" s="350" t="s">
        <v>742</v>
      </c>
      <c r="T57" s="350" t="s">
        <v>743</v>
      </c>
      <c r="U57" s="350"/>
      <c r="V57" s="350" t="s">
        <v>742</v>
      </c>
      <c r="W57" s="350" t="s">
        <v>743</v>
      </c>
      <c r="X57" s="350"/>
      <c r="Y57" s="437" t="s">
        <v>742</v>
      </c>
      <c r="Z57" s="350" t="s">
        <v>743</v>
      </c>
      <c r="AA57" s="351"/>
      <c r="AB57" s="351"/>
    </row>
    <row r="58" spans="1:28" s="330" customFormat="1" ht="15.75" customHeight="1">
      <c r="A58" s="427"/>
      <c r="B58" s="88"/>
      <c r="C58" s="58"/>
      <c r="D58" s="59"/>
      <c r="E58" s="60"/>
      <c r="F58" s="61"/>
      <c r="G58" s="61"/>
      <c r="H58" s="61"/>
      <c r="I58" s="87"/>
      <c r="J58" s="62"/>
      <c r="K58" s="61"/>
      <c r="L58" s="61"/>
      <c r="M58" s="65"/>
      <c r="N58" s="65"/>
      <c r="O58" s="85"/>
      <c r="P58" s="427"/>
      <c r="Q58" s="430"/>
      <c r="R58" s="1678" t="s">
        <v>617</v>
      </c>
      <c r="S58" s="355">
        <f>スコア!S53</f>
        <v>4.8</v>
      </c>
      <c r="T58" s="350" t="str">
        <f>IF(S58=0,"N.A.","")</f>
        <v/>
      </c>
      <c r="U58" s="902" t="s">
        <v>1101</v>
      </c>
      <c r="V58" s="335">
        <f>スコア!S63</f>
        <v>3</v>
      </c>
      <c r="W58" s="350" t="str">
        <f>IF(V58=0,"N.A.","")</f>
        <v/>
      </c>
      <c r="X58" s="349" t="s">
        <v>125</v>
      </c>
      <c r="Y58" s="335" t="e">
        <f>スコア!S80</f>
        <v>#VALUE!</v>
      </c>
      <c r="Z58" s="350" t="e">
        <f>IF(Y58=0,"N.A.","")</f>
        <v>#VALUE!</v>
      </c>
      <c r="AA58" s="351"/>
      <c r="AB58" s="351"/>
    </row>
    <row r="59" spans="1:28" s="330" customFormat="1" ht="15.75" customHeight="1" thickBot="1">
      <c r="A59" s="427"/>
      <c r="B59" s="89"/>
      <c r="C59" s="90"/>
      <c r="D59" s="91"/>
      <c r="E59" s="90"/>
      <c r="F59" s="57"/>
      <c r="G59" s="57"/>
      <c r="H59" s="57"/>
      <c r="I59" s="92"/>
      <c r="J59" s="93"/>
      <c r="K59" s="93"/>
      <c r="L59" s="93"/>
      <c r="M59" s="94"/>
      <c r="N59" s="94"/>
      <c r="O59" s="95"/>
      <c r="P59" s="427"/>
      <c r="Q59" s="430"/>
      <c r="R59" s="349" t="s">
        <v>744</v>
      </c>
      <c r="S59" s="355">
        <f>スコア!S56</f>
        <v>3</v>
      </c>
      <c r="T59" s="350" t="str">
        <f>IF(S59=0,"N.A.","")</f>
        <v/>
      </c>
      <c r="U59" s="902" t="s">
        <v>453</v>
      </c>
      <c r="V59" s="335">
        <f>スコア!S72</f>
        <v>3</v>
      </c>
      <c r="W59" s="350" t="str">
        <f>IF(V59=0,"N.A.","")</f>
        <v/>
      </c>
      <c r="X59" s="349" t="s">
        <v>126</v>
      </c>
      <c r="Y59" s="335">
        <f>スコア!S81</f>
        <v>3</v>
      </c>
      <c r="Z59" s="350" t="str">
        <f>IF(Y59=0,"N.A.","")</f>
        <v/>
      </c>
      <c r="AA59" s="351"/>
      <c r="AB59" s="351"/>
    </row>
    <row r="60" spans="1:28" s="330" customFormat="1" ht="8.25" customHeight="1" thickBot="1">
      <c r="A60" s="427"/>
      <c r="B60" s="96"/>
      <c r="C60" s="87"/>
      <c r="D60" s="97"/>
      <c r="E60" s="60"/>
      <c r="F60" s="61"/>
      <c r="G60" s="61"/>
      <c r="H60" s="61"/>
      <c r="I60" s="62"/>
      <c r="J60" s="62"/>
      <c r="K60" s="61"/>
      <c r="L60" s="61"/>
      <c r="M60" s="65"/>
      <c r="N60" s="65"/>
      <c r="O60" s="94"/>
      <c r="P60" s="427"/>
      <c r="Q60" s="435"/>
      <c r="R60" s="349" t="s">
        <v>746</v>
      </c>
      <c r="S60" s="355">
        <f>スコア!S59</f>
        <v>3</v>
      </c>
      <c r="T60" s="350" t="str">
        <f>IF(S60=0,"N.A.","")</f>
        <v/>
      </c>
      <c r="U60" s="349" t="s">
        <v>745</v>
      </c>
      <c r="V60" s="335">
        <f>スコア!S76</f>
        <v>3</v>
      </c>
      <c r="W60" s="350" t="str">
        <f>IF(V60=0,"N.A.","")</f>
        <v/>
      </c>
      <c r="X60" s="349" t="s">
        <v>127</v>
      </c>
      <c r="Y60" s="335">
        <f>スコア!S84</f>
        <v>3</v>
      </c>
      <c r="Z60" s="350" t="str">
        <f>IF(Y60=0,"N.A.","")</f>
        <v/>
      </c>
      <c r="AA60" s="351"/>
      <c r="AB60" s="351"/>
    </row>
    <row r="61" spans="1:28" s="330" customFormat="1" ht="15.75">
      <c r="A61" s="427"/>
      <c r="B61" s="384" t="s">
        <v>236</v>
      </c>
      <c r="C61" s="714"/>
      <c r="D61" s="715"/>
      <c r="E61" s="714"/>
      <c r="F61" s="714"/>
      <c r="G61" s="714"/>
      <c r="H61" s="716"/>
      <c r="I61" s="717"/>
      <c r="J61" s="714"/>
      <c r="K61" s="714"/>
      <c r="L61" s="714"/>
      <c r="M61" s="718"/>
      <c r="N61" s="718"/>
      <c r="O61" s="719"/>
      <c r="P61" s="427"/>
      <c r="Q61" s="435"/>
      <c r="U61" s="351"/>
      <c r="V61" s="354"/>
      <c r="W61" s="351"/>
      <c r="X61" s="351"/>
      <c r="Y61" s="351"/>
      <c r="Z61" s="351"/>
      <c r="AA61" s="351"/>
      <c r="AB61" s="351"/>
    </row>
    <row r="62" spans="1:28" s="330" customFormat="1" ht="14.25">
      <c r="A62" s="427"/>
      <c r="B62" s="921" t="s">
        <v>779</v>
      </c>
      <c r="C62" s="915"/>
      <c r="D62" s="916"/>
      <c r="E62" s="915"/>
      <c r="F62" s="915"/>
      <c r="G62" s="915"/>
      <c r="H62" s="915"/>
      <c r="I62" s="915"/>
      <c r="J62" s="915"/>
      <c r="K62" s="917"/>
      <c r="L62" s="918" t="s">
        <v>780</v>
      </c>
      <c r="M62" s="919"/>
      <c r="N62" s="919"/>
      <c r="O62" s="920"/>
      <c r="P62" s="427"/>
      <c r="Q62" s="435"/>
      <c r="R62" s="351"/>
      <c r="S62" s="351"/>
      <c r="T62" s="351"/>
      <c r="U62" s="351"/>
      <c r="V62" s="354"/>
      <c r="W62" s="351"/>
      <c r="X62" s="351"/>
      <c r="Y62" s="351"/>
      <c r="Z62" s="351"/>
      <c r="AA62" s="351"/>
      <c r="AB62" s="351"/>
    </row>
    <row r="63" spans="1:28" s="330" customFormat="1" ht="52.5" customHeight="1">
      <c r="A63" s="427"/>
      <c r="B63" s="2300" t="str">
        <f>SUBSTITUTE(配慮!C4,"注）　設計における総合的なコンセプトを簡潔に記載してください。" &amp; CHAR(10),"")</f>
        <v/>
      </c>
      <c r="C63" s="2301"/>
      <c r="D63" s="2301"/>
      <c r="E63" s="2301"/>
      <c r="F63" s="2301"/>
      <c r="G63" s="2301"/>
      <c r="H63" s="2301"/>
      <c r="I63" s="2301"/>
      <c r="J63" s="2301"/>
      <c r="K63" s="2302"/>
      <c r="L63" s="2303" t="str">
        <f>SUBSTITUTE(配慮!C11,"注）　上記の６つのカテゴリー以外に，建設工事における廃棄物削減・リサイクル，歴史的建造物の保存など，建物自体の環境性能としてＣＡＳＢＥＥで評価し難い環境配慮の取組みがあれば，ここに記載してください。" &amp; CHAR(10),"")</f>
        <v/>
      </c>
      <c r="M63" s="2303"/>
      <c r="N63" s="2303"/>
      <c r="O63" s="2304"/>
      <c r="P63" s="427"/>
      <c r="Q63" s="435"/>
      <c r="R63" s="439"/>
      <c r="S63" s="351"/>
      <c r="T63" s="351"/>
      <c r="U63" s="351"/>
      <c r="V63" s="354"/>
      <c r="W63" s="351"/>
      <c r="X63" s="351"/>
      <c r="Y63" s="351"/>
      <c r="Z63" s="351"/>
      <c r="AA63" s="351"/>
      <c r="AB63" s="351"/>
    </row>
    <row r="64" spans="1:28" s="330" customFormat="1" ht="15">
      <c r="A64" s="427"/>
      <c r="B64" s="922" t="s">
        <v>165</v>
      </c>
      <c r="C64" s="919"/>
      <c r="D64" s="919"/>
      <c r="E64" s="919"/>
      <c r="F64" s="919"/>
      <c r="G64" s="923"/>
      <c r="H64" s="924" t="s">
        <v>166</v>
      </c>
      <c r="I64" s="925"/>
      <c r="J64" s="925"/>
      <c r="K64" s="926"/>
      <c r="L64" s="927" t="s">
        <v>167</v>
      </c>
      <c r="M64" s="928"/>
      <c r="N64" s="929"/>
      <c r="O64" s="930"/>
      <c r="P64" s="427"/>
      <c r="Q64" s="435"/>
      <c r="R64" s="351"/>
      <c r="S64" s="351"/>
      <c r="T64" s="351"/>
      <c r="U64" s="351"/>
      <c r="V64" s="351"/>
      <c r="W64" s="351"/>
      <c r="X64" s="351"/>
      <c r="Y64" s="351"/>
      <c r="Z64" s="351"/>
      <c r="AA64" s="351"/>
      <c r="AB64" s="351"/>
    </row>
    <row r="65" spans="1:60" s="330" customFormat="1" ht="50.25" customHeight="1">
      <c r="A65" s="427"/>
      <c r="B65" s="2305" t="str">
        <f>SUBSTITUTE(配慮!C5,"注）　「QH1 室内環境を快適・健康・安心にする」に対する配慮事項を簡潔に記載してください。" &amp; CHAR(10),"")</f>
        <v/>
      </c>
      <c r="C65" s="2303"/>
      <c r="D65" s="2303"/>
      <c r="E65" s="2303"/>
      <c r="F65" s="2303"/>
      <c r="G65" s="2306"/>
      <c r="H65" s="2307" t="str">
        <f>SUBSTITUTE(配慮!C6,"注）　「QH2 長く使い続ける」に対する配慮事項を簡潔に記載してください。" &amp; CHAR(10),"")</f>
        <v/>
      </c>
      <c r="I65" s="2303"/>
      <c r="J65" s="2303"/>
      <c r="K65" s="2306"/>
      <c r="L65" s="2307" t="str">
        <f>SUBSTITUTE(配慮!C7,"注）　「QH3 まちなみ・生態系を豊かにする」に対する配慮事項を簡潔に記載してください。"&amp;CHAR(10),"")</f>
        <v/>
      </c>
      <c r="M65" s="2303"/>
      <c r="N65" s="2303"/>
      <c r="O65" s="2304"/>
      <c r="P65" s="427"/>
      <c r="Q65" s="435"/>
      <c r="R65" s="351"/>
      <c r="S65" s="351"/>
      <c r="T65" s="351"/>
      <c r="U65" s="351"/>
      <c r="V65" s="351"/>
      <c r="W65" s="351"/>
      <c r="X65" s="351"/>
      <c r="Y65" s="351"/>
      <c r="Z65" s="351"/>
      <c r="AA65" s="351"/>
      <c r="AB65" s="351"/>
    </row>
    <row r="66" spans="1:60" s="330" customFormat="1" ht="15">
      <c r="A66" s="427"/>
      <c r="B66" s="931" t="s">
        <v>168</v>
      </c>
      <c r="C66" s="932"/>
      <c r="D66" s="916"/>
      <c r="E66" s="916"/>
      <c r="F66" s="916"/>
      <c r="G66" s="933"/>
      <c r="H66" s="934" t="s">
        <v>169</v>
      </c>
      <c r="I66" s="919"/>
      <c r="J66" s="919"/>
      <c r="K66" s="923"/>
      <c r="L66" s="935" t="s">
        <v>170</v>
      </c>
      <c r="M66" s="932"/>
      <c r="N66" s="916"/>
      <c r="O66" s="936"/>
      <c r="P66" s="427"/>
      <c r="Q66" s="435"/>
      <c r="R66" s="351"/>
      <c r="S66" s="351"/>
      <c r="T66" s="351"/>
      <c r="U66" s="351"/>
      <c r="V66" s="351"/>
      <c r="W66" s="351"/>
      <c r="X66" s="351"/>
      <c r="Y66" s="351"/>
      <c r="Z66" s="351"/>
      <c r="AA66" s="351"/>
      <c r="AB66" s="351"/>
    </row>
    <row r="67" spans="1:60" s="330" customFormat="1" ht="57.75" customHeight="1" thickBot="1">
      <c r="A67" s="427"/>
      <c r="B67" s="2317" t="str">
        <f>SUBSTITUTE(配慮!C8,"注）　「LRH1 エネルギーと水を大切に使う」に対する配慮事項を簡潔に記載してください。"&amp;CHAR(10),"")</f>
        <v/>
      </c>
      <c r="C67" s="2298"/>
      <c r="D67" s="2298"/>
      <c r="E67" s="2298"/>
      <c r="F67" s="2298"/>
      <c r="G67" s="2318"/>
      <c r="H67" s="2297" t="str">
        <f>SUBSTITUTE(配慮!C9,"注）　「LRH2 資源を大切に使いゴミを減らす」に対する配慮事項を簡潔に記載してください。"&amp;CHAR(10),"")</f>
        <v/>
      </c>
      <c r="I67" s="2298"/>
      <c r="J67" s="2298"/>
      <c r="K67" s="2318"/>
      <c r="L67" s="2297" t="str">
        <f>SUBSTITUTE(配慮!C10,"注）　「LRH3 地球・地域・周辺環境に配慮する」に対する配慮事項を簡潔に記載してください。"&amp;CHAR(10),"")</f>
        <v/>
      </c>
      <c r="M67" s="2298"/>
      <c r="N67" s="2298"/>
      <c r="O67" s="2299"/>
      <c r="P67" s="427"/>
      <c r="Q67" s="435"/>
      <c r="R67" s="351"/>
      <c r="S67" s="351"/>
      <c r="T67" s="351"/>
      <c r="U67" s="351"/>
      <c r="V67" s="351"/>
      <c r="W67" s="351"/>
      <c r="X67" s="351"/>
      <c r="Y67" s="351"/>
      <c r="Z67" s="351"/>
      <c r="AA67" s="351"/>
      <c r="AB67" s="351"/>
    </row>
    <row r="68" spans="1:60" ht="4.5" customHeight="1">
      <c r="A68" s="427"/>
      <c r="E68" s="446"/>
      <c r="F68" s="440"/>
      <c r="G68" s="443"/>
      <c r="H68" s="440"/>
      <c r="I68" s="441"/>
      <c r="J68" s="441"/>
      <c r="K68" s="440"/>
      <c r="L68" s="440"/>
      <c r="M68" s="442"/>
      <c r="N68" s="442"/>
      <c r="P68" s="427"/>
      <c r="R68" s="351"/>
      <c r="S68" s="351"/>
      <c r="T68" s="351"/>
      <c r="U68" s="351"/>
      <c r="V68" s="351"/>
      <c r="W68" s="351"/>
      <c r="X68" s="351"/>
      <c r="Y68" s="351"/>
      <c r="Z68" s="351"/>
      <c r="AA68" s="351"/>
      <c r="AB68" s="351"/>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row>
    <row r="69" spans="1:60" ht="14.25">
      <c r="R69" s="351"/>
      <c r="S69" s="351"/>
      <c r="T69" s="351"/>
      <c r="U69" s="351"/>
      <c r="V69" s="351"/>
      <c r="W69" s="351"/>
      <c r="X69" s="351"/>
      <c r="Y69" s="351"/>
      <c r="Z69" s="351"/>
      <c r="AA69" s="351"/>
      <c r="AB69" s="351"/>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c r="BC69" s="330"/>
      <c r="BD69" s="330"/>
      <c r="BE69" s="330"/>
      <c r="BF69" s="330"/>
      <c r="BG69" s="330"/>
      <c r="BH69" s="330"/>
    </row>
    <row r="70" spans="1:60" ht="14.25" customHeight="1">
      <c r="R70" s="351"/>
      <c r="S70" s="351"/>
      <c r="T70" s="351"/>
      <c r="U70" s="351"/>
      <c r="V70" s="351"/>
      <c r="W70" s="351"/>
      <c r="X70" s="351"/>
      <c r="Y70" s="351"/>
      <c r="Z70" s="351"/>
      <c r="AA70" s="351"/>
      <c r="AB70" s="351"/>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row>
    <row r="71" spans="1:60" ht="14.25" customHeight="1">
      <c r="R71" s="351"/>
      <c r="S71" s="351"/>
      <c r="T71" s="351"/>
      <c r="U71" s="351"/>
      <c r="V71" s="351"/>
      <c r="W71" s="351"/>
      <c r="X71" s="351"/>
      <c r="Y71" s="351"/>
      <c r="Z71" s="351"/>
      <c r="AA71" s="351"/>
      <c r="AB71" s="351"/>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c r="BB71" s="330"/>
      <c r="BC71" s="330"/>
      <c r="BD71" s="330"/>
      <c r="BE71" s="330"/>
      <c r="BF71" s="330"/>
      <c r="BG71" s="330"/>
      <c r="BH71" s="330"/>
    </row>
    <row r="72" spans="1:60" ht="14.25" customHeight="1"/>
    <row r="73" spans="1:60" ht="14.25" customHeight="1"/>
    <row r="74" spans="1:60" ht="14.25" customHeight="1"/>
    <row r="75" spans="1:60" ht="14.25" hidden="1" customHeight="1"/>
    <row r="76" spans="1:60" ht="14.25" hidden="1" customHeight="1"/>
    <row r="77" spans="1:60" ht="0" hidden="1" customHeight="1"/>
    <row r="78" spans="1:60" ht="0" hidden="1" customHeight="1"/>
    <row r="79" spans="1:60" ht="0" hidden="1" customHeight="1"/>
    <row r="80" spans="1:60" ht="0" hidden="1" customHeight="1"/>
  </sheetData>
  <sheetProtection sheet="1" objects="1" scenarios="1"/>
  <mergeCells count="29">
    <mergeCell ref="H34:K36"/>
    <mergeCell ref="D18:F18"/>
    <mergeCell ref="B67:G67"/>
    <mergeCell ref="D10:F10"/>
    <mergeCell ref="D11:F11"/>
    <mergeCell ref="D12:F12"/>
    <mergeCell ref="D13:F13"/>
    <mergeCell ref="D14:F14"/>
    <mergeCell ref="H67:K67"/>
    <mergeCell ref="H31:H32"/>
    <mergeCell ref="J18:K18"/>
    <mergeCell ref="L67:O67"/>
    <mergeCell ref="B63:K63"/>
    <mergeCell ref="L63:O63"/>
    <mergeCell ref="B65:G65"/>
    <mergeCell ref="H65:K65"/>
    <mergeCell ref="L65:O65"/>
    <mergeCell ref="D9:F9"/>
    <mergeCell ref="D8:F8"/>
    <mergeCell ref="Q2:Q5"/>
    <mergeCell ref="G16:G17"/>
    <mergeCell ref="G13:G14"/>
    <mergeCell ref="H12:K14"/>
    <mergeCell ref="D17:E17"/>
    <mergeCell ref="D16:E16"/>
    <mergeCell ref="D15:E15"/>
    <mergeCell ref="J17:K17"/>
    <mergeCell ref="J16:K16"/>
    <mergeCell ref="J15:K15"/>
  </mergeCells>
  <phoneticPr fontId="4"/>
  <conditionalFormatting sqref="H33 H25:H31 I25:K33">
    <cfRule type="expression" dxfId="154" priority="1"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7" orientation="portrait" horizontalDpi="4294967293"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sheetPr codeName="Sheet4">
    <pageSetUpPr autoPageBreaks="0" fitToPage="1"/>
  </sheetPr>
  <dimension ref="A1:AG115"/>
  <sheetViews>
    <sheetView showGridLines="0" zoomScaleNormal="75" workbookViewId="0">
      <selection activeCell="J16" sqref="J16:N16"/>
    </sheetView>
  </sheetViews>
  <sheetFormatPr defaultColWidth="0" defaultRowHeight="0" customHeight="1" zeroHeight="1"/>
  <cols>
    <col min="1" max="1" width="1.875" style="454" customWidth="1"/>
    <col min="2" max="2" width="6.875" style="454" customWidth="1"/>
    <col min="3" max="3" width="6" style="698" customWidth="1"/>
    <col min="4" max="4" width="7.375" style="37" customWidth="1"/>
    <col min="5" max="5" width="12.375" style="454" customWidth="1"/>
    <col min="6" max="6" width="16.375" style="454" customWidth="1"/>
    <col min="7" max="7" width="6.5" style="454" hidden="1" customWidth="1"/>
    <col min="8" max="8" width="6.5" style="454" customWidth="1"/>
    <col min="9" max="9" width="11" style="454" customWidth="1"/>
    <col min="10" max="14" width="8.5" style="694" customWidth="1"/>
    <col min="15" max="15" width="10.125" style="694" customWidth="1"/>
    <col min="16" max="16" width="9.5" style="695" customWidth="1"/>
    <col min="17" max="17" width="9.75" style="696" hidden="1" customWidth="1"/>
    <col min="18" max="18" width="9.75" style="454" hidden="1" customWidth="1"/>
    <col min="19" max="19" width="7.25" style="504" customWidth="1"/>
    <col min="20" max="20" width="1.75" style="504" customWidth="1"/>
    <col min="21" max="21" width="11.25" style="697" hidden="1" customWidth="1"/>
    <col min="22" max="22" width="5.875" style="504" hidden="1" customWidth="1"/>
    <col min="23" max="23" width="9.625" style="697" hidden="1" customWidth="1"/>
    <col min="24" max="24" width="4.625" style="504" hidden="1" customWidth="1"/>
    <col min="25" max="25" width="12.25" style="504" hidden="1" customWidth="1"/>
    <col min="26" max="26" width="3.625" style="504" hidden="1" customWidth="1"/>
    <col min="27" max="27" width="17.5" style="453" hidden="1" customWidth="1"/>
    <col min="28" max="28" width="2.5" style="453" hidden="1" customWidth="1"/>
    <col min="29" max="29" width="6.375" style="453" hidden="1" customWidth="1"/>
    <col min="30" max="30" width="1.75" style="454" hidden="1" customWidth="1"/>
    <col min="31" max="33" width="8.375" style="1915" hidden="1" customWidth="1"/>
    <col min="34" max="16384" width="1.75" style="454" hidden="1"/>
  </cols>
  <sheetData>
    <row r="1" spans="1:33" ht="12.6" customHeight="1" thickBot="1"/>
    <row r="2" spans="1:33" ht="17.25">
      <c r="B2" s="1076" t="str">
        <f>メイン!C6</f>
        <v>CASBEE京都 戸建-新築(2015年版)</v>
      </c>
      <c r="C2" s="1077"/>
      <c r="D2" s="1078"/>
      <c r="E2" s="1079"/>
      <c r="F2" s="1080"/>
      <c r="M2" s="2360" t="s">
        <v>90</v>
      </c>
      <c r="N2" s="2360"/>
      <c r="O2" s="2187" t="str">
        <f>メイン!C6</f>
        <v>CASBEE京都 戸建-新築(2015年版)</v>
      </c>
      <c r="P2" s="1081"/>
    </row>
    <row r="3" spans="1:33" ht="15.75" customHeight="1" thickBot="1">
      <c r="B3" s="2357">
        <f>メイン!$C$10</f>
        <v>0</v>
      </c>
      <c r="C3" s="2358"/>
      <c r="D3" s="2358"/>
      <c r="E3" s="2358"/>
      <c r="F3" s="2359"/>
      <c r="M3" s="2361" t="s">
        <v>40</v>
      </c>
      <c r="N3" s="2361"/>
      <c r="O3" s="2188" t="str">
        <f>メイン!C5</f>
        <v>CASBEE京都 戸建-新築2015(v.1.0)</v>
      </c>
      <c r="P3" s="1082"/>
    </row>
    <row r="4" spans="1:33" ht="7.5" customHeight="1" thickBot="1"/>
    <row r="5" spans="1:33" ht="18" customHeight="1" thickBot="1">
      <c r="A5" s="50"/>
      <c r="B5" s="98" t="s">
        <v>46</v>
      </c>
      <c r="C5" s="197"/>
      <c r="D5" s="198"/>
      <c r="E5" s="2367" t="str">
        <f>IF(メイン!E31=0,"",メイン!E31)</f>
        <v/>
      </c>
      <c r="F5" s="2368"/>
      <c r="G5" s="455"/>
      <c r="H5" s="1792"/>
      <c r="I5" s="1793"/>
      <c r="J5" s="177"/>
      <c r="K5" s="177"/>
      <c r="L5" s="177"/>
      <c r="M5" s="177"/>
      <c r="N5" s="177"/>
      <c r="O5" s="177"/>
      <c r="P5" s="177"/>
      <c r="Q5" s="177"/>
      <c r="R5" s="177"/>
      <c r="S5" s="178"/>
      <c r="T5" s="505"/>
      <c r="U5" s="456"/>
      <c r="V5" s="261"/>
      <c r="W5" s="456"/>
      <c r="X5" s="261"/>
      <c r="Y5" s="261"/>
      <c r="Z5" s="505"/>
      <c r="AA5" s="336" t="s">
        <v>400</v>
      </c>
      <c r="AC5" s="336" t="s">
        <v>334</v>
      </c>
    </row>
    <row r="6" spans="1:33" ht="13.5" hidden="1">
      <c r="A6" s="50"/>
      <c r="B6" s="700"/>
      <c r="C6" s="701"/>
      <c r="D6" s="702"/>
      <c r="E6" s="703"/>
      <c r="F6" s="704"/>
      <c r="G6" s="705"/>
      <c r="H6" s="1794"/>
      <c r="I6" s="1795"/>
      <c r="J6" s="706"/>
      <c r="K6" s="707"/>
      <c r="L6" s="707"/>
      <c r="M6" s="707"/>
      <c r="N6" s="707"/>
      <c r="O6" s="630" t="s">
        <v>400</v>
      </c>
      <c r="P6" s="708"/>
      <c r="Q6" s="630" t="s">
        <v>334</v>
      </c>
      <c r="R6" s="709"/>
      <c r="S6" s="710"/>
      <c r="T6" s="505"/>
      <c r="U6" s="457" t="s">
        <v>842</v>
      </c>
      <c r="V6" s="337"/>
      <c r="W6" s="458" t="s">
        <v>94</v>
      </c>
      <c r="X6" s="337"/>
      <c r="Y6" s="337"/>
      <c r="Z6" s="505"/>
      <c r="AA6" s="459">
        <f>重み!D7</f>
        <v>1</v>
      </c>
      <c r="AC6" s="459">
        <f>重み!E7</f>
        <v>0</v>
      </c>
    </row>
    <row r="7" spans="1:33" ht="69.75" customHeight="1">
      <c r="A7" s="50"/>
      <c r="B7" s="959" t="s">
        <v>827</v>
      </c>
      <c r="C7" s="199"/>
      <c r="D7" s="200"/>
      <c r="E7" s="656"/>
      <c r="F7" s="201"/>
      <c r="G7" s="655" t="s">
        <v>707</v>
      </c>
      <c r="H7" s="1796" t="s">
        <v>983</v>
      </c>
      <c r="I7" s="1801" t="s">
        <v>984</v>
      </c>
      <c r="J7" s="958" t="s">
        <v>781</v>
      </c>
      <c r="K7" s="179"/>
      <c r="L7" s="179"/>
      <c r="M7" s="179"/>
      <c r="N7" s="180"/>
      <c r="O7" s="181" t="s">
        <v>324</v>
      </c>
      <c r="P7" s="182" t="s">
        <v>464</v>
      </c>
      <c r="Q7" s="183" t="s">
        <v>324</v>
      </c>
      <c r="R7" s="184" t="s">
        <v>464</v>
      </c>
      <c r="S7" s="1196" t="s">
        <v>47</v>
      </c>
      <c r="T7" s="505"/>
      <c r="U7" s="460" t="s">
        <v>325</v>
      </c>
      <c r="V7" s="182" t="s">
        <v>464</v>
      </c>
      <c r="W7" s="460" t="s">
        <v>325</v>
      </c>
      <c r="X7" s="182" t="s">
        <v>464</v>
      </c>
      <c r="Y7" s="344" t="s">
        <v>340</v>
      </c>
      <c r="Z7" s="505"/>
      <c r="AA7" s="459" t="s">
        <v>317</v>
      </c>
      <c r="AC7" s="459" t="s">
        <v>317</v>
      </c>
      <c r="AG7" s="1918"/>
    </row>
    <row r="8" spans="1:33" ht="18" customHeight="1" thickBot="1">
      <c r="A8" s="50"/>
      <c r="B8" s="202" t="s">
        <v>448</v>
      </c>
      <c r="C8" s="203"/>
      <c r="D8" s="657"/>
      <c r="E8" s="658"/>
      <c r="F8" s="678"/>
      <c r="G8" s="678"/>
      <c r="H8" s="1797"/>
      <c r="I8" s="1798"/>
      <c r="J8" s="185"/>
      <c r="K8" s="186"/>
      <c r="L8" s="186"/>
      <c r="M8" s="186"/>
      <c r="N8" s="187"/>
      <c r="O8" s="188"/>
      <c r="P8" s="686"/>
      <c r="Q8" s="189"/>
      <c r="R8" s="190"/>
      <c r="S8" s="1108">
        <f>ROUNDDOWN(Y8,1)</f>
        <v>2.8</v>
      </c>
      <c r="T8" s="505"/>
      <c r="U8" s="481"/>
      <c r="V8" s="638"/>
      <c r="W8" s="461"/>
      <c r="X8" s="341"/>
      <c r="Y8" s="503">
        <f>V9*Y9+V29*Y29+V44*Y44</f>
        <v>2.8850000000000002</v>
      </c>
      <c r="Z8" s="505"/>
      <c r="AA8" s="459">
        <f>重み!M8</f>
        <v>0</v>
      </c>
      <c r="AC8" s="459">
        <f>重み!N8</f>
        <v>0</v>
      </c>
      <c r="AE8" s="1916"/>
      <c r="AF8" s="1916"/>
      <c r="AG8" s="1917"/>
    </row>
    <row r="9" spans="1:33" ht="17.25" thickBot="1">
      <c r="A9" s="50"/>
      <c r="B9" s="204" t="s">
        <v>1241</v>
      </c>
      <c r="C9" s="205" t="s">
        <v>784</v>
      </c>
      <c r="D9" s="659"/>
      <c r="E9" s="659"/>
      <c r="F9" s="206"/>
      <c r="G9" s="206"/>
      <c r="H9" s="1799"/>
      <c r="I9" s="1800"/>
      <c r="J9" s="191"/>
      <c r="K9" s="192"/>
      <c r="L9" s="192"/>
      <c r="M9" s="192"/>
      <c r="N9" s="193"/>
      <c r="O9" s="194"/>
      <c r="P9" s="195">
        <f>V9</f>
        <v>0.45</v>
      </c>
      <c r="Q9" s="194"/>
      <c r="R9" s="195">
        <f t="shared" ref="R9:R53" si="0">X9</f>
        <v>0</v>
      </c>
      <c r="S9" s="196">
        <f>ROUNDDOWN(Y9,1)</f>
        <v>3</v>
      </c>
      <c r="T9" s="505"/>
      <c r="U9" s="461"/>
      <c r="V9" s="639">
        <f>重み!D9</f>
        <v>0.45</v>
      </c>
      <c r="W9" s="461"/>
      <c r="X9" s="342">
        <f>重み!E9</f>
        <v>0</v>
      </c>
      <c r="Y9" s="503">
        <f>Y10*V10+Y20*V20+Y25*V25+Y28*V28</f>
        <v>3</v>
      </c>
      <c r="Z9" s="505"/>
      <c r="AA9" s="459">
        <f>重み!M9</f>
        <v>0.45</v>
      </c>
      <c r="AC9" s="459">
        <f>重み!N9</f>
        <v>0</v>
      </c>
      <c r="AE9" s="1916"/>
      <c r="AF9" s="1916"/>
      <c r="AG9" s="1917"/>
    </row>
    <row r="10" spans="1:33" ht="13.5">
      <c r="A10" s="50"/>
      <c r="B10" s="207">
        <v>1</v>
      </c>
      <c r="C10" s="208" t="s">
        <v>473</v>
      </c>
      <c r="D10" s="660"/>
      <c r="E10" s="661"/>
      <c r="F10" s="210"/>
      <c r="G10" s="210"/>
      <c r="H10" s="1802"/>
      <c r="I10" s="1803"/>
      <c r="J10" s="1202"/>
      <c r="K10" s="1203"/>
      <c r="L10" s="1203"/>
      <c r="M10" s="1203"/>
      <c r="N10" s="1204"/>
      <c r="O10" s="292">
        <f>ROUNDDOWN(U10,1)</f>
        <v>3</v>
      </c>
      <c r="P10" s="263">
        <f t="shared" ref="P10:P32" si="1">V10</f>
        <v>0.5</v>
      </c>
      <c r="Q10" s="292">
        <f>ROUNDDOWN(W10,1)</f>
        <v>0</v>
      </c>
      <c r="R10" s="263">
        <f t="shared" si="0"/>
        <v>0</v>
      </c>
      <c r="S10" s="264">
        <f>ROUNDDOWN(Y10,1)</f>
        <v>3</v>
      </c>
      <c r="T10" s="505"/>
      <c r="U10" s="340">
        <f>U11*V11+U14*V14+U17*V17</f>
        <v>3</v>
      </c>
      <c r="V10" s="640">
        <f>重み!D10</f>
        <v>0.5</v>
      </c>
      <c r="W10" s="461"/>
      <c r="X10" s="499">
        <f>重み!E10</f>
        <v>0</v>
      </c>
      <c r="Y10" s="503">
        <f>IF(W10=0,U10,IF(U10=0,W10,U10*AA$6+W10*AC$6))</f>
        <v>3</v>
      </c>
      <c r="Z10" s="505"/>
      <c r="AA10" s="459">
        <f>重み!M10</f>
        <v>0.5</v>
      </c>
      <c r="AC10" s="459">
        <f>重み!N10</f>
        <v>0</v>
      </c>
      <c r="AE10" s="1916"/>
      <c r="AF10" s="1916"/>
      <c r="AG10" s="1917"/>
    </row>
    <row r="11" spans="1:33" ht="14.25" thickBot="1">
      <c r="A11" s="50"/>
      <c r="B11" s="211"/>
      <c r="C11" s="212">
        <v>1.1000000000000001</v>
      </c>
      <c r="D11" s="213" t="s">
        <v>474</v>
      </c>
      <c r="E11" s="214"/>
      <c r="F11" s="215"/>
      <c r="G11" s="215"/>
      <c r="H11" s="1804"/>
      <c r="I11" s="1805"/>
      <c r="J11" s="1205"/>
      <c r="K11" s="1206"/>
      <c r="L11" s="1206"/>
      <c r="M11" s="1206"/>
      <c r="N11" s="1207"/>
      <c r="O11" s="265">
        <f t="shared" ref="O11:O43" si="2">ROUNDDOWN(U11,1)</f>
        <v>3</v>
      </c>
      <c r="P11" s="284">
        <f t="shared" si="1"/>
        <v>0.5</v>
      </c>
      <c r="Q11" s="265">
        <f t="shared" ref="Q11:Q34" si="3">ROUNDDOWN(W11,1)</f>
        <v>0</v>
      </c>
      <c r="R11" s="284">
        <f t="shared" si="0"/>
        <v>0</v>
      </c>
      <c r="S11" s="266"/>
      <c r="T11" s="505"/>
      <c r="U11" s="340">
        <f>SUMPRODUCT(U12:U13,V12:V13)</f>
        <v>3.0000000000000004</v>
      </c>
      <c r="V11" s="640">
        <f>重み!D11</f>
        <v>0.5</v>
      </c>
      <c r="W11" s="461"/>
      <c r="X11" s="343">
        <f>重み!E11</f>
        <v>0</v>
      </c>
      <c r="Y11" s="339"/>
      <c r="Z11" s="505"/>
      <c r="AA11" s="459">
        <f>重み!M11</f>
        <v>0.5</v>
      </c>
      <c r="AC11" s="459">
        <f>重み!N11</f>
        <v>0</v>
      </c>
      <c r="AE11" s="1916"/>
      <c r="AF11" s="1916"/>
      <c r="AG11" s="1917"/>
    </row>
    <row r="12" spans="1:33" ht="13.5">
      <c r="A12" s="50"/>
      <c r="B12" s="211"/>
      <c r="C12" s="216"/>
      <c r="D12" s="662">
        <v>1</v>
      </c>
      <c r="E12" s="217" t="s">
        <v>951</v>
      </c>
      <c r="F12" s="218"/>
      <c r="G12" s="218"/>
      <c r="H12" s="1806"/>
      <c r="I12" s="1803"/>
      <c r="J12" s="2337">
        <f>採点Q1!I15</f>
        <v>0</v>
      </c>
      <c r="K12" s="2351"/>
      <c r="L12" s="2351"/>
      <c r="M12" s="2351"/>
      <c r="N12" s="2352"/>
      <c r="O12" s="267">
        <f t="shared" si="2"/>
        <v>3</v>
      </c>
      <c r="P12" s="279">
        <f t="shared" si="1"/>
        <v>0.8</v>
      </c>
      <c r="Q12" s="267">
        <f t="shared" si="3"/>
        <v>0</v>
      </c>
      <c r="R12" s="279">
        <f t="shared" si="0"/>
        <v>0</v>
      </c>
      <c r="S12" s="264"/>
      <c r="T12" s="505"/>
      <c r="U12" s="462">
        <f>IF(採点Q1!D8="対象外",0,採点Q1!D8)</f>
        <v>3</v>
      </c>
      <c r="V12" s="640">
        <f>重み!D12</f>
        <v>0.8</v>
      </c>
      <c r="W12" s="461"/>
      <c r="X12" s="343">
        <f>重み!E12</f>
        <v>0</v>
      </c>
      <c r="Y12" s="339"/>
      <c r="Z12" s="505"/>
      <c r="AA12" s="459">
        <f>重み!M12</f>
        <v>0.8</v>
      </c>
      <c r="AC12" s="459">
        <f>重み!N12</f>
        <v>0</v>
      </c>
      <c r="AE12" s="1916" t="s">
        <v>1242</v>
      </c>
      <c r="AF12" s="1916">
        <f>IF(AND(ISERROR(O12)=FALSE,ISERROR(P12)=FALSE),IF(AND(O12&gt;3,P12&gt;0),O12,0),0)</f>
        <v>0</v>
      </c>
      <c r="AG12" s="1917" t="str">
        <f t="shared" ref="AG12:AG71" si="4">IF(J12=0,"",J12)</f>
        <v/>
      </c>
    </row>
    <row r="13" spans="1:33" ht="14.25" thickBot="1">
      <c r="A13" s="50"/>
      <c r="B13" s="211"/>
      <c r="C13" s="219"/>
      <c r="D13" s="662">
        <v>2</v>
      </c>
      <c r="E13" s="220" t="s">
        <v>475</v>
      </c>
      <c r="F13" s="215"/>
      <c r="G13" s="215"/>
      <c r="H13" s="1807" t="s">
        <v>985</v>
      </c>
      <c r="I13" s="1808" t="s">
        <v>986</v>
      </c>
      <c r="J13" s="2337">
        <f>採点Q1!I25</f>
        <v>0</v>
      </c>
      <c r="K13" s="2338"/>
      <c r="L13" s="2338"/>
      <c r="M13" s="2338"/>
      <c r="N13" s="2350"/>
      <c r="O13" s="268">
        <f t="shared" si="2"/>
        <v>3</v>
      </c>
      <c r="P13" s="279">
        <f t="shared" si="1"/>
        <v>0.2</v>
      </c>
      <c r="Q13" s="268">
        <f t="shared" si="3"/>
        <v>0</v>
      </c>
      <c r="R13" s="279">
        <f t="shared" si="0"/>
        <v>0</v>
      </c>
      <c r="S13" s="264"/>
      <c r="T13" s="505"/>
      <c r="U13" s="462">
        <f>IF(採点Q1!D18="対象外",0,採点Q1!D18)</f>
        <v>3</v>
      </c>
      <c r="V13" s="640">
        <f>重み!D13</f>
        <v>0.2</v>
      </c>
      <c r="W13" s="461"/>
      <c r="X13" s="343">
        <f>重み!E13</f>
        <v>0</v>
      </c>
      <c r="Y13" s="339"/>
      <c r="Z13" s="505"/>
      <c r="AA13" s="459">
        <f>重み!M13</f>
        <v>0.2</v>
      </c>
      <c r="AC13" s="459">
        <f>重み!N13</f>
        <v>0</v>
      </c>
      <c r="AE13" s="1916" t="s">
        <v>1243</v>
      </c>
      <c r="AF13" s="1916">
        <f>IF(AND(ISERROR(O13)=FALSE,ISERROR(P13)=FALSE),IF(AND(O13&gt;3,P13&gt;0),O13,0),0)</f>
        <v>0</v>
      </c>
      <c r="AG13" s="1917" t="str">
        <f t="shared" si="4"/>
        <v/>
      </c>
    </row>
    <row r="14" spans="1:33" ht="14.25" thickBot="1">
      <c r="A14" s="50"/>
      <c r="B14" s="211"/>
      <c r="C14" s="221">
        <v>1.2</v>
      </c>
      <c r="D14" s="222" t="s">
        <v>476</v>
      </c>
      <c r="E14" s="222"/>
      <c r="F14" s="223"/>
      <c r="G14" s="223"/>
      <c r="H14" s="1806"/>
      <c r="I14" s="1803"/>
      <c r="J14" s="1202"/>
      <c r="K14" s="1203"/>
      <c r="L14" s="1203"/>
      <c r="M14" s="1203"/>
      <c r="N14" s="1204"/>
      <c r="O14" s="265">
        <f t="shared" si="2"/>
        <v>3</v>
      </c>
      <c r="P14" s="279">
        <f t="shared" si="1"/>
        <v>0.25</v>
      </c>
      <c r="Q14" s="265">
        <f t="shared" si="3"/>
        <v>0</v>
      </c>
      <c r="R14" s="279">
        <f t="shared" si="0"/>
        <v>0</v>
      </c>
      <c r="S14" s="264"/>
      <c r="T14" s="505"/>
      <c r="U14" s="340">
        <f>SUMPRODUCT(U15:U16,V15:V16)</f>
        <v>3</v>
      </c>
      <c r="V14" s="640">
        <f>重み!D14</f>
        <v>0.25</v>
      </c>
      <c r="W14" s="461"/>
      <c r="X14" s="343">
        <f>重み!E14</f>
        <v>0</v>
      </c>
      <c r="Y14" s="339"/>
      <c r="Z14" s="505"/>
      <c r="AA14" s="459">
        <f>重み!M14</f>
        <v>0.25</v>
      </c>
      <c r="AC14" s="459">
        <f>重み!N14</f>
        <v>0</v>
      </c>
      <c r="AE14" s="1916"/>
      <c r="AF14" s="1916"/>
      <c r="AG14" s="1917"/>
    </row>
    <row r="15" spans="1:33" ht="13.5">
      <c r="A15" s="50"/>
      <c r="B15" s="211"/>
      <c r="C15" s="221"/>
      <c r="D15" s="662">
        <v>1</v>
      </c>
      <c r="E15" s="220" t="s">
        <v>1099</v>
      </c>
      <c r="F15" s="215"/>
      <c r="G15" s="215"/>
      <c r="H15" s="1807" t="s">
        <v>985</v>
      </c>
      <c r="I15" s="1808" t="s">
        <v>987</v>
      </c>
      <c r="J15" s="2337">
        <f>採点Q1!I38</f>
        <v>0</v>
      </c>
      <c r="K15" s="2338"/>
      <c r="L15" s="2338"/>
      <c r="M15" s="2338"/>
      <c r="N15" s="2339"/>
      <c r="O15" s="267">
        <f t="shared" si="2"/>
        <v>3</v>
      </c>
      <c r="P15" s="279">
        <f t="shared" si="1"/>
        <v>0.5</v>
      </c>
      <c r="Q15" s="267">
        <f t="shared" si="3"/>
        <v>0</v>
      </c>
      <c r="R15" s="279">
        <f t="shared" si="0"/>
        <v>0</v>
      </c>
      <c r="S15" s="264"/>
      <c r="T15" s="505"/>
      <c r="U15" s="462">
        <f>IF(採点Q1!D31="対象外",0,採点Q1!D31)</f>
        <v>3</v>
      </c>
      <c r="V15" s="640">
        <f>重み!D15</f>
        <v>0.5</v>
      </c>
      <c r="W15" s="461"/>
      <c r="X15" s="343">
        <f>重み!E15</f>
        <v>0</v>
      </c>
      <c r="Y15" s="339"/>
      <c r="Z15" s="505"/>
      <c r="AA15" s="459">
        <f>重み!M15</f>
        <v>0.5</v>
      </c>
      <c r="AC15" s="459">
        <f>重み!N15</f>
        <v>0</v>
      </c>
      <c r="AE15" s="1916" t="s">
        <v>1244</v>
      </c>
      <c r="AF15" s="1916">
        <f>IF(AND(ISERROR(O15)=FALSE,ISERROR(P15)=FALSE),IF(AND(O15&gt;3,P15&gt;0),O15,0),0)</f>
        <v>0</v>
      </c>
      <c r="AG15" s="1917" t="str">
        <f t="shared" si="4"/>
        <v/>
      </c>
    </row>
    <row r="16" spans="1:33" ht="14.25" thickBot="1">
      <c r="A16" s="50"/>
      <c r="B16" s="211"/>
      <c r="C16" s="216"/>
      <c r="D16" s="662">
        <v>2</v>
      </c>
      <c r="E16" s="220" t="s">
        <v>477</v>
      </c>
      <c r="F16" s="215"/>
      <c r="G16" s="215"/>
      <c r="H16" s="1806"/>
      <c r="I16" s="1803"/>
      <c r="J16" s="2337">
        <f>採点Q1!I48</f>
        <v>0</v>
      </c>
      <c r="K16" s="2338"/>
      <c r="L16" s="2338"/>
      <c r="M16" s="2338"/>
      <c r="N16" s="2339"/>
      <c r="O16" s="268">
        <f t="shared" si="2"/>
        <v>3</v>
      </c>
      <c r="P16" s="279">
        <f t="shared" si="1"/>
        <v>0.5</v>
      </c>
      <c r="Q16" s="268">
        <f t="shared" si="3"/>
        <v>0</v>
      </c>
      <c r="R16" s="279">
        <f t="shared" si="0"/>
        <v>0</v>
      </c>
      <c r="S16" s="264"/>
      <c r="T16" s="505"/>
      <c r="U16" s="462">
        <f>IF(採点Q1!D41="対象外",0,採点Q1!D41)</f>
        <v>3</v>
      </c>
      <c r="V16" s="640">
        <f>重み!D16</f>
        <v>0.5</v>
      </c>
      <c r="W16" s="461"/>
      <c r="X16" s="343">
        <f>重み!E16</f>
        <v>0</v>
      </c>
      <c r="Y16" s="339"/>
      <c r="Z16" s="505"/>
      <c r="AA16" s="459">
        <f>重み!M16</f>
        <v>0.5</v>
      </c>
      <c r="AC16" s="459">
        <f>重み!N16</f>
        <v>0</v>
      </c>
      <c r="AE16" s="1916" t="s">
        <v>1245</v>
      </c>
      <c r="AF16" s="1916">
        <f>IF(AND(ISERROR(O16)=FALSE,ISERROR(P16)=FALSE),IF(AND(O16&gt;3,P16&gt;0),O16,0),0)</f>
        <v>0</v>
      </c>
      <c r="AG16" s="1917" t="str">
        <f t="shared" si="4"/>
        <v/>
      </c>
    </row>
    <row r="17" spans="1:33" ht="14.25" thickBot="1">
      <c r="A17" s="50"/>
      <c r="B17" s="211"/>
      <c r="C17" s="212">
        <v>1.3</v>
      </c>
      <c r="D17" s="214" t="s">
        <v>478</v>
      </c>
      <c r="E17" s="214"/>
      <c r="F17" s="215"/>
      <c r="G17" s="215"/>
      <c r="H17" s="1806"/>
      <c r="I17" s="1803"/>
      <c r="J17" s="1202"/>
      <c r="K17" s="1203"/>
      <c r="L17" s="1203"/>
      <c r="M17" s="1203"/>
      <c r="N17" s="1204"/>
      <c r="O17" s="265">
        <f t="shared" si="2"/>
        <v>3</v>
      </c>
      <c r="P17" s="279">
        <f t="shared" si="1"/>
        <v>0.25</v>
      </c>
      <c r="Q17" s="265">
        <f t="shared" si="3"/>
        <v>0</v>
      </c>
      <c r="R17" s="279">
        <f t="shared" si="0"/>
        <v>0</v>
      </c>
      <c r="S17" s="264"/>
      <c r="T17" s="505"/>
      <c r="U17" s="340">
        <f>SUMPRODUCT(U18,V18)</f>
        <v>3</v>
      </c>
      <c r="V17" s="640">
        <f>重み!D17</f>
        <v>0.25</v>
      </c>
      <c r="W17" s="461"/>
      <c r="X17" s="343">
        <f>重み!E17</f>
        <v>0</v>
      </c>
      <c r="Y17" s="339"/>
      <c r="Z17" s="505"/>
      <c r="AA17" s="459">
        <f>重み!M17</f>
        <v>0.25</v>
      </c>
      <c r="AC17" s="459">
        <f>重み!N17</f>
        <v>0</v>
      </c>
      <c r="AE17" s="1916"/>
      <c r="AF17" s="1916"/>
      <c r="AG17" s="1917"/>
    </row>
    <row r="18" spans="1:33" ht="14.25" thickBot="1">
      <c r="A18" s="50"/>
      <c r="B18" s="651"/>
      <c r="C18" s="652"/>
      <c r="D18" s="662">
        <v>1</v>
      </c>
      <c r="E18" s="220" t="s">
        <v>479</v>
      </c>
      <c r="F18" s="215"/>
      <c r="G18" s="215"/>
      <c r="H18" s="1806"/>
      <c r="I18" s="1803"/>
      <c r="J18" s="2337">
        <f>採点Q1!I59</f>
        <v>0</v>
      </c>
      <c r="K18" s="2338"/>
      <c r="L18" s="2338"/>
      <c r="M18" s="2338"/>
      <c r="N18" s="2339"/>
      <c r="O18" s="960">
        <f t="shared" si="2"/>
        <v>3</v>
      </c>
      <c r="P18" s="279">
        <f t="shared" si="1"/>
        <v>1</v>
      </c>
      <c r="Q18" s="267">
        <f t="shared" si="3"/>
        <v>0</v>
      </c>
      <c r="R18" s="279">
        <f t="shared" si="0"/>
        <v>0</v>
      </c>
      <c r="S18" s="264"/>
      <c r="T18" s="505"/>
      <c r="U18" s="462">
        <f>IF(採点Q1!D52="対象外",0,採点Q1!D52)</f>
        <v>3</v>
      </c>
      <c r="V18" s="640">
        <f>重み!D18</f>
        <v>1</v>
      </c>
      <c r="W18" s="461"/>
      <c r="X18" s="343">
        <f>重み!E18</f>
        <v>0</v>
      </c>
      <c r="Y18" s="482"/>
      <c r="Z18" s="505"/>
      <c r="AA18" s="459">
        <f>重み!M18</f>
        <v>1</v>
      </c>
      <c r="AC18" s="459">
        <f>重み!N18</f>
        <v>0</v>
      </c>
      <c r="AE18" s="1916" t="s">
        <v>1246</v>
      </c>
      <c r="AF18" s="1916">
        <f>IF(AND(ISERROR(O18)=FALSE,ISERROR(P18)=FALSE),IF(AND(O18&gt;3,P18&gt;0),O18,0),0)</f>
        <v>0</v>
      </c>
      <c r="AG18" s="1917" t="str">
        <f t="shared" si="4"/>
        <v/>
      </c>
    </row>
    <row r="19" spans="1:33" ht="14.25" hidden="1" thickBot="1">
      <c r="A19" s="50"/>
      <c r="B19" s="644"/>
      <c r="C19" s="645"/>
      <c r="D19" s="662">
        <v>2</v>
      </c>
      <c r="E19" s="220"/>
      <c r="F19" s="215"/>
      <c r="G19" s="215"/>
      <c r="H19" s="1806"/>
      <c r="I19" s="1803"/>
      <c r="J19" s="2337"/>
      <c r="K19" s="2338"/>
      <c r="L19" s="2338"/>
      <c r="M19" s="2338"/>
      <c r="N19" s="2339"/>
      <c r="O19" s="268">
        <f t="shared" si="2"/>
        <v>0</v>
      </c>
      <c r="P19" s="279">
        <f>V19</f>
        <v>0</v>
      </c>
      <c r="Q19" s="268">
        <f t="shared" si="3"/>
        <v>0</v>
      </c>
      <c r="R19" s="279">
        <f t="shared" si="0"/>
        <v>0</v>
      </c>
      <c r="S19" s="264">
        <f>ROUNDDOWN(Y19,1)</f>
        <v>0</v>
      </c>
      <c r="T19" s="505"/>
      <c r="U19" s="462"/>
      <c r="V19" s="640">
        <f>重み!D19</f>
        <v>0</v>
      </c>
      <c r="W19" s="461"/>
      <c r="X19" s="343">
        <f>重み!E19</f>
        <v>0</v>
      </c>
      <c r="Y19" s="482"/>
      <c r="Z19" s="505"/>
      <c r="AA19" s="459">
        <f>重み!M19</f>
        <v>0</v>
      </c>
      <c r="AC19" s="459">
        <f>重み!N19</f>
        <v>0</v>
      </c>
      <c r="AE19" s="1916"/>
      <c r="AF19" s="1916"/>
      <c r="AG19" s="1917" t="str">
        <f t="shared" si="4"/>
        <v/>
      </c>
    </row>
    <row r="20" spans="1:33" ht="14.25" thickBot="1">
      <c r="A20" s="50"/>
      <c r="B20" s="240">
        <v>2</v>
      </c>
      <c r="C20" s="225" t="s">
        <v>480</v>
      </c>
      <c r="D20" s="660"/>
      <c r="E20" s="663"/>
      <c r="F20" s="210"/>
      <c r="G20" s="210"/>
      <c r="H20" s="1809"/>
      <c r="I20" s="1810"/>
      <c r="J20" s="2196"/>
      <c r="K20" s="2197"/>
      <c r="L20" s="2197"/>
      <c r="M20" s="2197"/>
      <c r="N20" s="2198"/>
      <c r="O20" s="265">
        <f t="shared" si="2"/>
        <v>3</v>
      </c>
      <c r="P20" s="272">
        <f t="shared" si="1"/>
        <v>0.3</v>
      </c>
      <c r="Q20" s="265">
        <f t="shared" si="3"/>
        <v>0</v>
      </c>
      <c r="R20" s="272">
        <f t="shared" si="0"/>
        <v>0</v>
      </c>
      <c r="S20" s="273">
        <f>ROUNDDOWN(Y20,1)</f>
        <v>3</v>
      </c>
      <c r="T20" s="505"/>
      <c r="U20" s="340">
        <f>U21*V21+U22*V22+U23*V23+U24*V24</f>
        <v>3</v>
      </c>
      <c r="V20" s="640">
        <f>重み!D20</f>
        <v>0.3</v>
      </c>
      <c r="W20" s="461"/>
      <c r="X20" s="343">
        <f>重み!E20</f>
        <v>0</v>
      </c>
      <c r="Y20" s="339">
        <f>IF(W20=0,U20,IF(U20=0,W20,U20*AA$6+W20*AC$6))</f>
        <v>3</v>
      </c>
      <c r="Z20" s="505"/>
      <c r="AA20" s="459">
        <f>重み!M20</f>
        <v>0.3</v>
      </c>
      <c r="AC20" s="459">
        <f>重み!N20</f>
        <v>0</v>
      </c>
      <c r="AE20" s="1916"/>
      <c r="AF20" s="1916"/>
      <c r="AG20" s="1917"/>
    </row>
    <row r="21" spans="1:33" ht="13.5">
      <c r="A21" s="50"/>
      <c r="B21" s="211"/>
      <c r="C21" s="212">
        <v>2.1</v>
      </c>
      <c r="D21" s="226" t="s">
        <v>481</v>
      </c>
      <c r="E21" s="664"/>
      <c r="F21" s="227"/>
      <c r="G21" s="227"/>
      <c r="H21" s="1806"/>
      <c r="I21" s="1803"/>
      <c r="J21" s="2337">
        <f>採点Q1!I71</f>
        <v>0</v>
      </c>
      <c r="K21" s="2338"/>
      <c r="L21" s="2338"/>
      <c r="M21" s="2338"/>
      <c r="N21" s="2339"/>
      <c r="O21" s="688">
        <f t="shared" si="2"/>
        <v>3</v>
      </c>
      <c r="P21" s="284">
        <f t="shared" si="1"/>
        <v>0.25</v>
      </c>
      <c r="Q21" s="688">
        <f t="shared" si="3"/>
        <v>0</v>
      </c>
      <c r="R21" s="284">
        <f t="shared" si="0"/>
        <v>0</v>
      </c>
      <c r="S21" s="266"/>
      <c r="T21" s="505"/>
      <c r="U21" s="462">
        <f>IF(採点Q1!D64="対象外",0,採点Q1!D64)</f>
        <v>3</v>
      </c>
      <c r="V21" s="640">
        <f>重み!D21</f>
        <v>0.25</v>
      </c>
      <c r="W21" s="461"/>
      <c r="X21" s="343">
        <f>重み!E21</f>
        <v>0</v>
      </c>
      <c r="Y21" s="339"/>
      <c r="Z21" s="505"/>
      <c r="AA21" s="459">
        <f>重み!M21</f>
        <v>0.25</v>
      </c>
      <c r="AC21" s="459">
        <f>重み!N21</f>
        <v>0</v>
      </c>
      <c r="AE21" s="1916" t="s">
        <v>1247</v>
      </c>
      <c r="AF21" s="1916">
        <f t="shared" ref="AF21:AF24" si="5">IF(AND(ISERROR(O21)=FALSE,ISERROR(P21)=FALSE),IF(AND(O21&gt;3,P21&gt;0),O21,0),0)</f>
        <v>0</v>
      </c>
      <c r="AG21" s="1917" t="str">
        <f t="shared" si="4"/>
        <v/>
      </c>
    </row>
    <row r="22" spans="1:33" ht="13.5">
      <c r="A22" s="50"/>
      <c r="B22" s="211"/>
      <c r="C22" s="224">
        <v>2.2000000000000002</v>
      </c>
      <c r="D22" s="214" t="s">
        <v>712</v>
      </c>
      <c r="E22" s="665"/>
      <c r="F22" s="228"/>
      <c r="G22" s="228"/>
      <c r="H22" s="1806"/>
      <c r="I22" s="1803"/>
      <c r="J22" s="2337">
        <f>採点Q1!I82</f>
        <v>0</v>
      </c>
      <c r="K22" s="2338"/>
      <c r="L22" s="2338"/>
      <c r="M22" s="2338"/>
      <c r="N22" s="2339"/>
      <c r="O22" s="285">
        <f t="shared" si="2"/>
        <v>3</v>
      </c>
      <c r="P22" s="279">
        <f t="shared" si="1"/>
        <v>0.25</v>
      </c>
      <c r="Q22" s="285">
        <f t="shared" si="3"/>
        <v>0</v>
      </c>
      <c r="R22" s="279">
        <f t="shared" si="0"/>
        <v>0</v>
      </c>
      <c r="S22" s="264"/>
      <c r="T22" s="505"/>
      <c r="U22" s="462">
        <f>IF(採点Q1!D75="対象外",0,採点Q1!D75)</f>
        <v>3</v>
      </c>
      <c r="V22" s="640">
        <f>重み!D22</f>
        <v>0.25</v>
      </c>
      <c r="W22" s="461"/>
      <c r="X22" s="343">
        <f>重み!E22</f>
        <v>0</v>
      </c>
      <c r="Y22" s="339"/>
      <c r="Z22" s="505"/>
      <c r="AA22" s="459">
        <f>重み!M22</f>
        <v>0.25</v>
      </c>
      <c r="AC22" s="459">
        <f>重み!N22</f>
        <v>0</v>
      </c>
      <c r="AE22" s="1916" t="s">
        <v>1248</v>
      </c>
      <c r="AF22" s="1916">
        <f t="shared" si="5"/>
        <v>0</v>
      </c>
      <c r="AG22" s="1917" t="str">
        <f t="shared" si="4"/>
        <v/>
      </c>
    </row>
    <row r="23" spans="1:33" ht="14.25" thickBot="1">
      <c r="A23" s="50"/>
      <c r="B23" s="211"/>
      <c r="C23" s="224">
        <v>2.2999999999999998</v>
      </c>
      <c r="D23" s="214" t="s">
        <v>482</v>
      </c>
      <c r="E23" s="665"/>
      <c r="F23" s="228"/>
      <c r="G23" s="228"/>
      <c r="H23" s="1806"/>
      <c r="I23" s="1803"/>
      <c r="J23" s="2337">
        <f>採点Q1!I93</f>
        <v>0</v>
      </c>
      <c r="K23" s="2338"/>
      <c r="L23" s="2338"/>
      <c r="M23" s="2338"/>
      <c r="N23" s="2339"/>
      <c r="O23" s="285">
        <f t="shared" si="2"/>
        <v>3</v>
      </c>
      <c r="P23" s="279">
        <f t="shared" si="1"/>
        <v>0.25</v>
      </c>
      <c r="Q23" s="270">
        <f t="shared" si="3"/>
        <v>0</v>
      </c>
      <c r="R23" s="279">
        <f t="shared" si="0"/>
        <v>0</v>
      </c>
      <c r="S23" s="264"/>
      <c r="T23" s="505"/>
      <c r="U23" s="462">
        <f>IF(採点Q1!D86="対象外",0,採点Q1!D86)</f>
        <v>3</v>
      </c>
      <c r="V23" s="640">
        <f>重み!D23</f>
        <v>0.25</v>
      </c>
      <c r="W23" s="461"/>
      <c r="X23" s="343">
        <f>重み!E23</f>
        <v>0</v>
      </c>
      <c r="Y23" s="339"/>
      <c r="Z23" s="505"/>
      <c r="AA23" s="459">
        <f>重み!M23</f>
        <v>0.25</v>
      </c>
      <c r="AC23" s="459">
        <f>重み!N23</f>
        <v>0</v>
      </c>
      <c r="AE23" s="1916" t="s">
        <v>1249</v>
      </c>
      <c r="AF23" s="1916">
        <f t="shared" si="5"/>
        <v>0</v>
      </c>
      <c r="AG23" s="1917" t="str">
        <f t="shared" si="4"/>
        <v/>
      </c>
    </row>
    <row r="24" spans="1:33" ht="14.25" thickBot="1">
      <c r="A24" s="50"/>
      <c r="B24" s="644"/>
      <c r="C24" s="221">
        <v>2.4</v>
      </c>
      <c r="D24" s="214" t="s">
        <v>624</v>
      </c>
      <c r="E24" s="665"/>
      <c r="F24" s="228"/>
      <c r="G24" s="228"/>
      <c r="H24" s="1806"/>
      <c r="I24" s="1803"/>
      <c r="J24" s="2337">
        <f>採点Q1!I110</f>
        <v>0</v>
      </c>
      <c r="K24" s="2338"/>
      <c r="L24" s="2338"/>
      <c r="M24" s="2338"/>
      <c r="N24" s="2339"/>
      <c r="O24" s="270">
        <f>ROUNDDOWN(U24,1)</f>
        <v>3</v>
      </c>
      <c r="P24" s="279">
        <f>V24</f>
        <v>0.25</v>
      </c>
      <c r="Q24" s="270">
        <f>ROUNDDOWN(W24,1)</f>
        <v>0</v>
      </c>
      <c r="R24" s="279">
        <f>X24</f>
        <v>0</v>
      </c>
      <c r="S24" s="264"/>
      <c r="T24" s="505"/>
      <c r="U24" s="462">
        <f>IF(採点Q1!D97="対象外",0,採点Q1!D97)</f>
        <v>3</v>
      </c>
      <c r="V24" s="640">
        <f>重み!D24</f>
        <v>0.25</v>
      </c>
      <c r="W24" s="461"/>
      <c r="X24" s="343">
        <f>重み!E24</f>
        <v>0</v>
      </c>
      <c r="Y24" s="339"/>
      <c r="Z24" s="505"/>
      <c r="AA24" s="459">
        <f>重み!M24</f>
        <v>0.25</v>
      </c>
      <c r="AC24" s="459">
        <f>重み!N24</f>
        <v>0</v>
      </c>
      <c r="AE24" s="1916" t="s">
        <v>1250</v>
      </c>
      <c r="AF24" s="1916">
        <f t="shared" si="5"/>
        <v>0</v>
      </c>
      <c r="AG24" s="1917" t="str">
        <f t="shared" si="4"/>
        <v/>
      </c>
    </row>
    <row r="25" spans="1:33" ht="14.25" thickBot="1">
      <c r="A25" s="50"/>
      <c r="B25" s="207">
        <v>3</v>
      </c>
      <c r="C25" s="225" t="s">
        <v>735</v>
      </c>
      <c r="D25" s="660"/>
      <c r="E25" s="663"/>
      <c r="F25" s="210"/>
      <c r="G25" s="210"/>
      <c r="H25" s="1809"/>
      <c r="I25" s="1810"/>
      <c r="J25" s="2196"/>
      <c r="K25" s="2197"/>
      <c r="L25" s="2197"/>
      <c r="M25" s="2197"/>
      <c r="N25" s="2198"/>
      <c r="O25" s="265">
        <f t="shared" si="2"/>
        <v>3</v>
      </c>
      <c r="P25" s="272">
        <f t="shared" si="1"/>
        <v>0.1</v>
      </c>
      <c r="Q25" s="265">
        <f t="shared" si="3"/>
        <v>0</v>
      </c>
      <c r="R25" s="272">
        <f t="shared" si="0"/>
        <v>0</v>
      </c>
      <c r="S25" s="273">
        <f>ROUNDDOWN(Y25,1)</f>
        <v>3</v>
      </c>
      <c r="T25" s="505"/>
      <c r="U25" s="340">
        <f>U26*V26+U27*V27</f>
        <v>3</v>
      </c>
      <c r="V25" s="640">
        <f>重み!D25</f>
        <v>0.1</v>
      </c>
      <c r="W25" s="461"/>
      <c r="X25" s="343">
        <f>重み!E25</f>
        <v>0</v>
      </c>
      <c r="Y25" s="339">
        <f>IF(W25=0,U25,IF(U25=0,W25,U25*AA$6+W25*AC$6))</f>
        <v>3</v>
      </c>
      <c r="Z25" s="505"/>
      <c r="AA25" s="459">
        <f>重み!M25</f>
        <v>0.1</v>
      </c>
      <c r="AC25" s="459">
        <f>重み!N25</f>
        <v>0</v>
      </c>
      <c r="AE25" s="1916"/>
      <c r="AF25" s="1916"/>
      <c r="AG25" s="1917"/>
    </row>
    <row r="26" spans="1:33" ht="13.5">
      <c r="A26" s="50"/>
      <c r="B26" s="211"/>
      <c r="C26" s="224">
        <v>3.1</v>
      </c>
      <c r="D26" s="226" t="s">
        <v>484</v>
      </c>
      <c r="E26" s="664"/>
      <c r="F26" s="227"/>
      <c r="G26" s="227"/>
      <c r="H26" s="1807" t="s">
        <v>985</v>
      </c>
      <c r="I26" s="1808" t="s">
        <v>986</v>
      </c>
      <c r="J26" s="2362">
        <f>採点Q1!I126</f>
        <v>0</v>
      </c>
      <c r="K26" s="2363"/>
      <c r="L26" s="2363"/>
      <c r="M26" s="2363"/>
      <c r="N26" s="2364"/>
      <c r="O26" s="688">
        <f t="shared" si="2"/>
        <v>3</v>
      </c>
      <c r="P26" s="274">
        <f t="shared" si="1"/>
        <v>1</v>
      </c>
      <c r="Q26" s="688">
        <f t="shared" si="3"/>
        <v>0</v>
      </c>
      <c r="R26" s="274">
        <f t="shared" si="0"/>
        <v>0</v>
      </c>
      <c r="S26" s="266"/>
      <c r="T26" s="505"/>
      <c r="U26" s="462">
        <f>IF(採点Q1!D114="対象外",0,採点Q1!D114)</f>
        <v>3</v>
      </c>
      <c r="V26" s="640">
        <f>重み!D26</f>
        <v>1</v>
      </c>
      <c r="W26" s="461"/>
      <c r="X26" s="343">
        <f>重み!E26</f>
        <v>0</v>
      </c>
      <c r="Y26" s="339"/>
      <c r="Z26" s="505"/>
      <c r="AA26" s="459">
        <f>重み!M26</f>
        <v>1</v>
      </c>
      <c r="AC26" s="459">
        <f>重み!N26</f>
        <v>0</v>
      </c>
      <c r="AE26" s="1916" t="s">
        <v>1251</v>
      </c>
      <c r="AF26" s="1916">
        <f>IF(AND(ISERROR(O26)=FALSE,ISERROR(P26)=FALSE),IF(AND(O26&gt;3,P26&gt;0),O26,0),0)</f>
        <v>0</v>
      </c>
      <c r="AG26" s="1917" t="str">
        <f t="shared" si="4"/>
        <v/>
      </c>
    </row>
    <row r="27" spans="1:33" ht="13.5" hidden="1">
      <c r="A27" s="50"/>
      <c r="B27" s="650"/>
      <c r="C27" s="224">
        <v>3.2</v>
      </c>
      <c r="D27" s="214"/>
      <c r="E27" s="665"/>
      <c r="F27" s="228"/>
      <c r="G27" s="228"/>
      <c r="H27" s="1811"/>
      <c r="I27" s="1812"/>
      <c r="J27" s="2347"/>
      <c r="K27" s="2353"/>
      <c r="L27" s="2353"/>
      <c r="M27" s="2353"/>
      <c r="N27" s="2353"/>
      <c r="O27" s="689">
        <f t="shared" si="2"/>
        <v>0</v>
      </c>
      <c r="P27" s="687">
        <f t="shared" si="1"/>
        <v>0</v>
      </c>
      <c r="Q27" s="689">
        <f t="shared" si="3"/>
        <v>0</v>
      </c>
      <c r="R27" s="687">
        <f t="shared" si="0"/>
        <v>0</v>
      </c>
      <c r="S27" s="278"/>
      <c r="T27" s="505"/>
      <c r="U27" s="462"/>
      <c r="V27" s="640">
        <f>重み!D27</f>
        <v>0</v>
      </c>
      <c r="W27" s="461"/>
      <c r="X27" s="343">
        <f>重み!E27</f>
        <v>0</v>
      </c>
      <c r="Y27" s="339"/>
      <c r="Z27" s="505"/>
      <c r="AA27" s="459">
        <f>重み!M27</f>
        <v>0</v>
      </c>
      <c r="AC27" s="459">
        <f>重み!N27</f>
        <v>0</v>
      </c>
      <c r="AE27" s="1916"/>
      <c r="AF27" s="1916"/>
      <c r="AG27" s="1917" t="str">
        <f t="shared" si="4"/>
        <v/>
      </c>
    </row>
    <row r="28" spans="1:33" ht="14.25" thickBot="1">
      <c r="A28" s="50"/>
      <c r="B28" s="500">
        <v>4</v>
      </c>
      <c r="C28" s="501" t="s">
        <v>485</v>
      </c>
      <c r="D28" s="674"/>
      <c r="E28" s="726"/>
      <c r="F28" s="256"/>
      <c r="G28" s="256"/>
      <c r="H28" s="1813"/>
      <c r="I28" s="1814"/>
      <c r="J28" s="2365">
        <f>採点Q1!I139</f>
        <v>0</v>
      </c>
      <c r="K28" s="2366"/>
      <c r="L28" s="2366"/>
      <c r="M28" s="2366"/>
      <c r="N28" s="2366"/>
      <c r="O28" s="727">
        <f t="shared" si="2"/>
        <v>3</v>
      </c>
      <c r="P28" s="728">
        <f t="shared" si="1"/>
        <v>0.1</v>
      </c>
      <c r="Q28" s="727">
        <f t="shared" si="3"/>
        <v>0</v>
      </c>
      <c r="R28" s="728">
        <f t="shared" si="0"/>
        <v>0</v>
      </c>
      <c r="S28" s="729">
        <f>ROUNDDOWN(Y28,1)</f>
        <v>3</v>
      </c>
      <c r="T28" s="505"/>
      <c r="U28" s="462">
        <f>IF(採点Q1!D132="対象外",0,採点Q1!D132)</f>
        <v>3</v>
      </c>
      <c r="V28" s="640">
        <f>重み!D28</f>
        <v>0.1</v>
      </c>
      <c r="W28" s="461"/>
      <c r="X28" s="343">
        <f>重み!E28</f>
        <v>0</v>
      </c>
      <c r="Y28" s="339">
        <f>IF(W28=0,U28,IF(U28=0,W28,U28*AA$6+W28*AC$6))</f>
        <v>3</v>
      </c>
      <c r="Z28" s="505"/>
      <c r="AA28" s="459">
        <f>重み!M28</f>
        <v>0.1</v>
      </c>
      <c r="AC28" s="459">
        <f>重み!N28</f>
        <v>0</v>
      </c>
      <c r="AE28" s="1916" t="s">
        <v>1252</v>
      </c>
      <c r="AF28" s="1916">
        <f>IF(AND(ISERROR(O28)=FALSE,ISERROR(P28)=FALSE),IF(AND(O28&gt;3,P28&gt;0),O28,0),0)</f>
        <v>0</v>
      </c>
      <c r="AG28" s="1917" t="str">
        <f t="shared" si="4"/>
        <v/>
      </c>
    </row>
    <row r="29" spans="1:33" ht="17.25" thickBot="1">
      <c r="A29" s="50"/>
      <c r="B29" s="231" t="s">
        <v>681</v>
      </c>
      <c r="C29" s="232" t="s">
        <v>486</v>
      </c>
      <c r="D29" s="666"/>
      <c r="E29" s="666"/>
      <c r="F29" s="233"/>
      <c r="G29" s="233"/>
      <c r="H29" s="1815"/>
      <c r="I29" s="1816"/>
      <c r="J29" s="2199"/>
      <c r="K29" s="2200"/>
      <c r="L29" s="2200"/>
      <c r="M29" s="2200"/>
      <c r="N29" s="2201"/>
      <c r="O29" s="379">
        <f t="shared" si="2"/>
        <v>0</v>
      </c>
      <c r="P29" s="276">
        <f t="shared" si="1"/>
        <v>0.3</v>
      </c>
      <c r="Q29" s="379">
        <f t="shared" si="3"/>
        <v>0</v>
      </c>
      <c r="R29" s="276">
        <f t="shared" si="0"/>
        <v>0</v>
      </c>
      <c r="S29" s="277">
        <f>ROUNDDOWN(Y29,1)</f>
        <v>2.9</v>
      </c>
      <c r="T29" s="505"/>
      <c r="U29" s="463"/>
      <c r="V29" s="639">
        <f>重み!D29</f>
        <v>0.3</v>
      </c>
      <c r="W29" s="461"/>
      <c r="X29" s="343">
        <f>重み!E29</f>
        <v>0</v>
      </c>
      <c r="Y29" s="339">
        <f>Y30*V30+Y38*V38+Y41*V41</f>
        <v>2.95</v>
      </c>
      <c r="Z29" s="505"/>
      <c r="AA29" s="459">
        <f>重み!M29</f>
        <v>0.3</v>
      </c>
      <c r="AC29" s="459">
        <f>重み!N29</f>
        <v>0</v>
      </c>
      <c r="AE29" s="1916"/>
      <c r="AF29" s="1916"/>
      <c r="AG29" s="1917"/>
    </row>
    <row r="30" spans="1:33" ht="14.25" thickBot="1">
      <c r="A30" s="50"/>
      <c r="B30" s="207">
        <v>1</v>
      </c>
      <c r="C30" s="478" t="s">
        <v>37</v>
      </c>
      <c r="D30" s="667"/>
      <c r="E30" s="663"/>
      <c r="F30" s="210"/>
      <c r="G30" s="210"/>
      <c r="H30" s="1817"/>
      <c r="I30" s="1818"/>
      <c r="J30" s="2202"/>
      <c r="K30" s="2203"/>
      <c r="L30" s="2203"/>
      <c r="M30" s="2204"/>
      <c r="N30" s="2205"/>
      <c r="O30" s="690">
        <f t="shared" si="2"/>
        <v>2.9</v>
      </c>
      <c r="P30" s="684">
        <f t="shared" si="1"/>
        <v>0.5</v>
      </c>
      <c r="Q30" s="690">
        <f t="shared" si="3"/>
        <v>0</v>
      </c>
      <c r="R30" s="684">
        <f t="shared" si="0"/>
        <v>0</v>
      </c>
      <c r="S30" s="685">
        <f>ROUNDDOWN(Y30,1)</f>
        <v>2.9</v>
      </c>
      <c r="T30" s="505"/>
      <c r="U30" s="340">
        <f>U31*V31+U32*V32+U33*V33+U34*V34+U35*V35</f>
        <v>2.9</v>
      </c>
      <c r="V30" s="640">
        <f>重み!D30</f>
        <v>0.5</v>
      </c>
      <c r="W30" s="461"/>
      <c r="X30" s="343">
        <f>重み!E30</f>
        <v>0</v>
      </c>
      <c r="Y30" s="339">
        <f>IF(W30=0,U30,IF(U30=0,W30,U30*AA$6+W30*AC$6))</f>
        <v>2.9</v>
      </c>
      <c r="Z30" s="505"/>
      <c r="AA30" s="459">
        <f>重み!M30</f>
        <v>0.5</v>
      </c>
      <c r="AC30" s="459">
        <f>重み!N30</f>
        <v>0</v>
      </c>
      <c r="AE30" s="1916"/>
      <c r="AF30" s="1916"/>
      <c r="AG30" s="1917"/>
    </row>
    <row r="31" spans="1:33" ht="13.5">
      <c r="A31" s="50"/>
      <c r="B31" s="229"/>
      <c r="C31" s="221">
        <v>1.1000000000000001</v>
      </c>
      <c r="D31" s="213" t="s">
        <v>194</v>
      </c>
      <c r="E31" s="664"/>
      <c r="F31" s="227"/>
      <c r="G31" s="227"/>
      <c r="H31" s="1819" t="s">
        <v>988</v>
      </c>
      <c r="I31" s="1820" t="s">
        <v>987</v>
      </c>
      <c r="J31" s="2337">
        <f>採点Q2!I15</f>
        <v>0</v>
      </c>
      <c r="K31" s="2338"/>
      <c r="L31" s="2338"/>
      <c r="M31" s="2338"/>
      <c r="N31" s="2339"/>
      <c r="O31" s="688">
        <f t="shared" si="2"/>
        <v>3</v>
      </c>
      <c r="P31" s="263">
        <f t="shared" si="1"/>
        <v>0.3</v>
      </c>
      <c r="Q31" s="688">
        <f t="shared" si="3"/>
        <v>0</v>
      </c>
      <c r="R31" s="263">
        <f t="shared" si="0"/>
        <v>0</v>
      </c>
      <c r="S31" s="264"/>
      <c r="T31" s="505"/>
      <c r="U31" s="681">
        <f>IF(採点Q2!D8="対象外",0,採点Q2!D8)</f>
        <v>3</v>
      </c>
      <c r="V31" s="640">
        <f>重み!D31</f>
        <v>0.3</v>
      </c>
      <c r="W31" s="461"/>
      <c r="X31" s="343">
        <f>重み!E31</f>
        <v>0</v>
      </c>
      <c r="Y31" s="339"/>
      <c r="Z31" s="505"/>
      <c r="AA31" s="459">
        <f>重み!M31</f>
        <v>0.3</v>
      </c>
      <c r="AC31" s="459">
        <f>重み!N31</f>
        <v>0</v>
      </c>
      <c r="AE31" s="1916" t="s">
        <v>1253</v>
      </c>
      <c r="AF31" s="1916">
        <f>IF(AND(ISERROR(O31)=FALSE,ISERROR(P31)=FALSE),IF(AND(O31&gt;3,P31&gt;0),O31,0),0)</f>
        <v>0</v>
      </c>
      <c r="AG31" s="1917" t="str">
        <f t="shared" si="4"/>
        <v/>
      </c>
    </row>
    <row r="32" spans="1:33" ht="13.5">
      <c r="A32" s="50"/>
      <c r="B32" s="229"/>
      <c r="C32" s="212">
        <v>1.2</v>
      </c>
      <c r="D32" s="213" t="s">
        <v>38</v>
      </c>
      <c r="E32" s="664"/>
      <c r="F32" s="227"/>
      <c r="G32" s="227"/>
      <c r="H32" s="1821" t="s">
        <v>988</v>
      </c>
      <c r="I32" s="1822" t="s">
        <v>986</v>
      </c>
      <c r="J32" s="2337">
        <f>採点Q2!I32</f>
        <v>0</v>
      </c>
      <c r="K32" s="2338"/>
      <c r="L32" s="2338"/>
      <c r="M32" s="2338"/>
      <c r="N32" s="2339"/>
      <c r="O32" s="285">
        <f t="shared" si="2"/>
        <v>3</v>
      </c>
      <c r="P32" s="263">
        <f t="shared" si="1"/>
        <v>0.1</v>
      </c>
      <c r="Q32" s="285">
        <f t="shared" si="3"/>
        <v>0</v>
      </c>
      <c r="R32" s="263">
        <f t="shared" si="0"/>
        <v>0</v>
      </c>
      <c r="S32" s="264"/>
      <c r="T32" s="505"/>
      <c r="U32" s="681">
        <f>IF(採点Q2!D19="対象外",0,採点Q2!D19)</f>
        <v>3</v>
      </c>
      <c r="V32" s="640">
        <f>重み!D32</f>
        <v>0.1</v>
      </c>
      <c r="W32" s="461"/>
      <c r="X32" s="343">
        <f>重み!E32</f>
        <v>0</v>
      </c>
      <c r="Y32" s="339"/>
      <c r="Z32" s="505"/>
      <c r="AA32" s="459">
        <f>重み!M32</f>
        <v>0.1</v>
      </c>
      <c r="AC32" s="459">
        <f>重み!N32</f>
        <v>0</v>
      </c>
      <c r="AE32" s="1916" t="s">
        <v>1254</v>
      </c>
      <c r="AF32" s="1916">
        <f>IF(AND(ISERROR(O32)=FALSE,ISERROR(P32)=FALSE),IF(AND(O32&gt;3,P32&gt;0),O32,0),0)</f>
        <v>0</v>
      </c>
      <c r="AG32" s="1917" t="str">
        <f t="shared" si="4"/>
        <v/>
      </c>
    </row>
    <row r="33" spans="1:33" ht="13.5">
      <c r="A33" s="50"/>
      <c r="B33" s="211"/>
      <c r="C33" s="212">
        <v>1.3</v>
      </c>
      <c r="D33" s="226" t="s">
        <v>1100</v>
      </c>
      <c r="E33" s="226"/>
      <c r="F33" s="643"/>
      <c r="G33" s="643"/>
      <c r="H33" s="1823" t="s">
        <v>988</v>
      </c>
      <c r="I33" s="1824" t="s">
        <v>989</v>
      </c>
      <c r="J33" s="2337">
        <f>採点Q2!I53</f>
        <v>0</v>
      </c>
      <c r="K33" s="2338"/>
      <c r="L33" s="2338"/>
      <c r="M33" s="2338"/>
      <c r="N33" s="2339"/>
      <c r="O33" s="285">
        <f t="shared" si="2"/>
        <v>2</v>
      </c>
      <c r="P33" s="263">
        <f t="shared" ref="P33:P40" si="6">V33</f>
        <v>0.1</v>
      </c>
      <c r="Q33" s="285">
        <f t="shared" si="3"/>
        <v>0</v>
      </c>
      <c r="R33" s="263">
        <f t="shared" si="0"/>
        <v>0</v>
      </c>
      <c r="S33" s="264"/>
      <c r="T33" s="505"/>
      <c r="U33" s="681">
        <f>IF(採点Q2!D38="対象外",0,採点Q2!D38)</f>
        <v>2</v>
      </c>
      <c r="V33" s="640">
        <f>重み!D33</f>
        <v>0.1</v>
      </c>
      <c r="W33" s="461"/>
      <c r="X33" s="343">
        <f>重み!E33</f>
        <v>0</v>
      </c>
      <c r="Y33" s="482"/>
      <c r="Z33" s="505"/>
      <c r="AA33" s="459">
        <f>重み!M33</f>
        <v>0.1</v>
      </c>
      <c r="AC33" s="459">
        <f>重み!N33</f>
        <v>0</v>
      </c>
      <c r="AE33" s="1916" t="s">
        <v>1255</v>
      </c>
      <c r="AF33" s="1916">
        <f>IF(AND(ISERROR(O33)=FALSE,ISERROR(P33)=FALSE),IF(AND(O33&gt;3,P33&gt;0),O33,0),0)</f>
        <v>0</v>
      </c>
      <c r="AG33" s="1917" t="str">
        <f t="shared" si="4"/>
        <v/>
      </c>
    </row>
    <row r="34" spans="1:33" ht="14.25" thickBot="1">
      <c r="A34" s="50"/>
      <c r="B34" s="211"/>
      <c r="C34" s="212">
        <v>1.4</v>
      </c>
      <c r="D34" s="226" t="s">
        <v>488</v>
      </c>
      <c r="E34" s="226"/>
      <c r="F34" s="643"/>
      <c r="G34" s="643"/>
      <c r="H34" s="1825"/>
      <c r="I34" s="1826"/>
      <c r="J34" s="2337">
        <f>採点Q2!I64</f>
        <v>0</v>
      </c>
      <c r="K34" s="2338"/>
      <c r="L34" s="2338"/>
      <c r="M34" s="2338"/>
      <c r="N34" s="2339"/>
      <c r="O34" s="270">
        <f>ROUNDDOWN(U34,1)</f>
        <v>3</v>
      </c>
      <c r="P34" s="263">
        <f t="shared" si="6"/>
        <v>0.3</v>
      </c>
      <c r="Q34" s="270">
        <f t="shared" si="3"/>
        <v>0</v>
      </c>
      <c r="R34" s="263">
        <f t="shared" si="0"/>
        <v>0</v>
      </c>
      <c r="S34" s="264"/>
      <c r="T34" s="505"/>
      <c r="U34" s="462">
        <f>IF(採点Q2!D57="対象外",0,採点Q2!D57)</f>
        <v>3</v>
      </c>
      <c r="V34" s="640">
        <f>重み!D34</f>
        <v>0.3</v>
      </c>
      <c r="W34" s="461"/>
      <c r="X34" s="343">
        <f>重み!E34</f>
        <v>0</v>
      </c>
      <c r="Y34" s="482"/>
      <c r="Z34" s="505"/>
      <c r="AA34" s="459">
        <f>重み!M34</f>
        <v>0.3</v>
      </c>
      <c r="AC34" s="459">
        <f>重み!N34</f>
        <v>0</v>
      </c>
      <c r="AE34" s="1916" t="s">
        <v>1256</v>
      </c>
      <c r="AF34" s="1916">
        <f>IF(AND(ISERROR(O34)=FALSE,ISERROR(P34)=FALSE),IF(AND(O34&gt;3,P34&gt;0),O34,0),0)</f>
        <v>0</v>
      </c>
      <c r="AG34" s="1917" t="str">
        <f t="shared" si="4"/>
        <v/>
      </c>
    </row>
    <row r="35" spans="1:33" ht="14.25" thickBot="1">
      <c r="A35" s="50"/>
      <c r="B35" s="211"/>
      <c r="C35" s="212">
        <v>1.5</v>
      </c>
      <c r="D35" s="226" t="s">
        <v>489</v>
      </c>
      <c r="E35" s="226"/>
      <c r="F35" s="643"/>
      <c r="G35" s="643"/>
      <c r="H35" s="1825"/>
      <c r="I35" s="1826"/>
      <c r="J35" s="1202"/>
      <c r="K35" s="1203"/>
      <c r="L35" s="1203"/>
      <c r="M35" s="1203"/>
      <c r="N35" s="2206"/>
      <c r="O35" s="262">
        <f>ROUNDDOWN(U35,1)</f>
        <v>3</v>
      </c>
      <c r="P35" s="263">
        <f t="shared" si="6"/>
        <v>0.2</v>
      </c>
      <c r="Q35" s="262">
        <f>ROUNDDOWN(W35,1)</f>
        <v>0</v>
      </c>
      <c r="R35" s="263">
        <f t="shared" si="0"/>
        <v>0</v>
      </c>
      <c r="S35" s="264"/>
      <c r="T35" s="505"/>
      <c r="U35" s="340">
        <f>SUMPRODUCT(U36:U37,V36:V37)</f>
        <v>3</v>
      </c>
      <c r="V35" s="640">
        <f>重み!D35</f>
        <v>0.2</v>
      </c>
      <c r="W35" s="461"/>
      <c r="X35" s="343">
        <f>重み!E35</f>
        <v>0</v>
      </c>
      <c r="Y35" s="482"/>
      <c r="Z35" s="505"/>
      <c r="AA35" s="459">
        <f>重み!M35</f>
        <v>0.2</v>
      </c>
      <c r="AC35" s="459">
        <f>重み!N35</f>
        <v>0</v>
      </c>
      <c r="AE35" s="1916"/>
      <c r="AF35" s="1916"/>
      <c r="AG35" s="1917"/>
    </row>
    <row r="36" spans="1:33" ht="13.5">
      <c r="A36" s="50"/>
      <c r="B36" s="229"/>
      <c r="C36" s="216"/>
      <c r="D36" s="662">
        <v>1</v>
      </c>
      <c r="E36" s="214" t="s">
        <v>1102</v>
      </c>
      <c r="F36" s="228"/>
      <c r="G36" s="228"/>
      <c r="H36" s="1806"/>
      <c r="I36" s="1803"/>
      <c r="J36" s="2337">
        <f>採点Q2!I75</f>
        <v>0</v>
      </c>
      <c r="K36" s="2338"/>
      <c r="L36" s="2338"/>
      <c r="M36" s="2338"/>
      <c r="N36" s="2339"/>
      <c r="O36" s="654">
        <f t="shared" si="2"/>
        <v>3</v>
      </c>
      <c r="P36" s="263">
        <f t="shared" si="6"/>
        <v>0.65</v>
      </c>
      <c r="Q36" s="654">
        <f t="shared" ref="Q36:Q71" si="7">ROUNDDOWN(W36,1)</f>
        <v>0</v>
      </c>
      <c r="R36" s="263">
        <f t="shared" si="0"/>
        <v>0</v>
      </c>
      <c r="S36" s="264"/>
      <c r="T36" s="505"/>
      <c r="U36" s="462">
        <f>IF(採点Q2!D68="対象外",0,採点Q2!D68)</f>
        <v>3</v>
      </c>
      <c r="V36" s="640">
        <f>重み!D36</f>
        <v>0.65</v>
      </c>
      <c r="W36" s="461"/>
      <c r="X36" s="343">
        <f>重み!E36</f>
        <v>0</v>
      </c>
      <c r="Y36" s="482"/>
      <c r="Z36" s="505"/>
      <c r="AA36" s="459">
        <f>重み!M36</f>
        <v>0.65</v>
      </c>
      <c r="AC36" s="459">
        <f>重み!N36</f>
        <v>0</v>
      </c>
      <c r="AE36" s="1916" t="s">
        <v>1257</v>
      </c>
      <c r="AF36" s="1916">
        <f>IF(AND(ISERROR(O36)=FALSE,ISERROR(P36)=FALSE),IF(AND(O36&gt;3,P36&gt;0),O36,0),0)</f>
        <v>0</v>
      </c>
      <c r="AG36" s="1917" t="str">
        <f t="shared" si="4"/>
        <v/>
      </c>
    </row>
    <row r="37" spans="1:33" ht="14.25" thickBot="1">
      <c r="A37" s="50"/>
      <c r="B37" s="653"/>
      <c r="C37" s="219"/>
      <c r="D37" s="662">
        <v>2</v>
      </c>
      <c r="E37" s="214" t="s">
        <v>490</v>
      </c>
      <c r="F37" s="228"/>
      <c r="G37" s="228"/>
      <c r="H37" s="1806"/>
      <c r="I37" s="1803"/>
      <c r="J37" s="2337">
        <f>採点Q2!I85</f>
        <v>0</v>
      </c>
      <c r="K37" s="2338"/>
      <c r="L37" s="2338"/>
      <c r="M37" s="2338"/>
      <c r="N37" s="2339"/>
      <c r="O37" s="268">
        <f t="shared" si="2"/>
        <v>3</v>
      </c>
      <c r="P37" s="263">
        <f t="shared" si="6"/>
        <v>0.35</v>
      </c>
      <c r="Q37" s="268">
        <f t="shared" si="7"/>
        <v>0</v>
      </c>
      <c r="R37" s="263">
        <f t="shared" si="0"/>
        <v>0</v>
      </c>
      <c r="S37" s="264"/>
      <c r="T37" s="505"/>
      <c r="U37" s="462">
        <f>IF(採点Q2!D78="対象外",0,採点Q2!D78)</f>
        <v>3</v>
      </c>
      <c r="V37" s="640">
        <f>重み!D37</f>
        <v>0.35</v>
      </c>
      <c r="W37" s="461"/>
      <c r="X37" s="343">
        <f>重み!E37</f>
        <v>0</v>
      </c>
      <c r="Y37" s="482"/>
      <c r="Z37" s="505"/>
      <c r="AA37" s="459">
        <f>重み!M37</f>
        <v>0.35</v>
      </c>
      <c r="AC37" s="459">
        <f>重み!N37</f>
        <v>0</v>
      </c>
      <c r="AE37" s="1916" t="s">
        <v>1258</v>
      </c>
      <c r="AF37" s="1916">
        <f>IF(AND(ISERROR(O37)=FALSE,ISERROR(P37)=FALSE),IF(AND(O37&gt;3,P37&gt;0),O37,0),0)</f>
        <v>0</v>
      </c>
      <c r="AG37" s="1917" t="str">
        <f t="shared" si="4"/>
        <v/>
      </c>
    </row>
    <row r="38" spans="1:33" ht="14.25" thickBot="1">
      <c r="A38" s="50"/>
      <c r="B38" s="207">
        <v>2</v>
      </c>
      <c r="C38" s="241" t="s">
        <v>491</v>
      </c>
      <c r="D38" s="660"/>
      <c r="E38" s="660"/>
      <c r="F38" s="210"/>
      <c r="G38" s="210"/>
      <c r="H38" s="1809"/>
      <c r="I38" s="1810"/>
      <c r="J38" s="2196"/>
      <c r="K38" s="2197"/>
      <c r="L38" s="2197"/>
      <c r="M38" s="2197"/>
      <c r="N38" s="2198"/>
      <c r="O38" s="271">
        <f t="shared" si="2"/>
        <v>3</v>
      </c>
      <c r="P38" s="272">
        <f t="shared" si="6"/>
        <v>0.25</v>
      </c>
      <c r="Q38" s="271">
        <f t="shared" si="7"/>
        <v>0</v>
      </c>
      <c r="R38" s="272">
        <f t="shared" si="0"/>
        <v>0</v>
      </c>
      <c r="S38" s="273">
        <f>ROUNDDOWN(Y38,1)</f>
        <v>3</v>
      </c>
      <c r="T38" s="505"/>
      <c r="U38" s="340">
        <f>U39*V39+U40*V40</f>
        <v>3</v>
      </c>
      <c r="V38" s="640">
        <f>重み!D38</f>
        <v>0.25</v>
      </c>
      <c r="W38" s="461"/>
      <c r="X38" s="343">
        <f>重み!E38</f>
        <v>0</v>
      </c>
      <c r="Y38" s="339">
        <f>IF(W38=0,U38,IF(U38=0,W38,U38*AA$6+W38*AC$6))</f>
        <v>3</v>
      </c>
      <c r="Z38" s="505"/>
      <c r="AA38" s="459">
        <f>重み!M38</f>
        <v>0.25</v>
      </c>
      <c r="AC38" s="459">
        <f>重み!N38</f>
        <v>0</v>
      </c>
      <c r="AE38" s="1916"/>
      <c r="AF38" s="1916"/>
      <c r="AG38" s="1917"/>
    </row>
    <row r="39" spans="1:33" ht="13.5">
      <c r="A39" s="50"/>
      <c r="B39" s="229"/>
      <c r="C39" s="224">
        <v>2.1</v>
      </c>
      <c r="D39" s="226" t="s">
        <v>493</v>
      </c>
      <c r="E39" s="664"/>
      <c r="F39" s="227"/>
      <c r="G39" s="227"/>
      <c r="H39" s="1819" t="s">
        <v>988</v>
      </c>
      <c r="I39" s="1820" t="s">
        <v>989</v>
      </c>
      <c r="J39" s="2337">
        <f>採点Q2!I104</f>
        <v>0</v>
      </c>
      <c r="K39" s="2338"/>
      <c r="L39" s="2338"/>
      <c r="M39" s="2338"/>
      <c r="N39" s="2339"/>
      <c r="O39" s="688">
        <f t="shared" si="2"/>
        <v>3</v>
      </c>
      <c r="P39" s="263">
        <f t="shared" si="6"/>
        <v>0.65</v>
      </c>
      <c r="Q39" s="688">
        <f t="shared" si="7"/>
        <v>0</v>
      </c>
      <c r="R39" s="263">
        <f t="shared" si="0"/>
        <v>0</v>
      </c>
      <c r="S39" s="264"/>
      <c r="T39" s="505"/>
      <c r="U39" s="462">
        <f>IF(採点Q2!D90="対象外",0,採点Q2!D90)</f>
        <v>3</v>
      </c>
      <c r="V39" s="640">
        <f>重み!D39</f>
        <v>0.65</v>
      </c>
      <c r="W39" s="461"/>
      <c r="X39" s="343">
        <f>重み!E39</f>
        <v>0</v>
      </c>
      <c r="Y39" s="339"/>
      <c r="Z39" s="505"/>
      <c r="AA39" s="459">
        <f>重み!M39</f>
        <v>0.65</v>
      </c>
      <c r="AC39" s="459">
        <f>重み!N39</f>
        <v>0</v>
      </c>
      <c r="AE39" s="1916" t="s">
        <v>1259</v>
      </c>
      <c r="AF39" s="1916">
        <f>IF(AND(ISERROR(O39)=FALSE,ISERROR(P39)=FALSE),IF(AND(O39&gt;3,P39&gt;0),O39,0),0)</f>
        <v>0</v>
      </c>
      <c r="AG39" s="1917" t="str">
        <f t="shared" si="4"/>
        <v/>
      </c>
    </row>
    <row r="40" spans="1:33" ht="14.25" thickBot="1">
      <c r="A40" s="50"/>
      <c r="B40" s="229"/>
      <c r="C40" s="221">
        <v>2.2000000000000002</v>
      </c>
      <c r="D40" s="226" t="s">
        <v>255</v>
      </c>
      <c r="E40" s="664"/>
      <c r="F40" s="227"/>
      <c r="G40" s="227"/>
      <c r="H40" s="1827" t="s">
        <v>988</v>
      </c>
      <c r="I40" s="1828" t="s">
        <v>987</v>
      </c>
      <c r="J40" s="2337">
        <f>採点Q2!I123</f>
        <v>0</v>
      </c>
      <c r="K40" s="2338"/>
      <c r="L40" s="2338"/>
      <c r="M40" s="2338"/>
      <c r="N40" s="2339"/>
      <c r="O40" s="270">
        <f t="shared" si="2"/>
        <v>3</v>
      </c>
      <c r="P40" s="279">
        <f t="shared" si="6"/>
        <v>0.35</v>
      </c>
      <c r="Q40" s="270">
        <f t="shared" si="7"/>
        <v>0</v>
      </c>
      <c r="R40" s="279">
        <f t="shared" si="0"/>
        <v>0</v>
      </c>
      <c r="S40" s="264"/>
      <c r="T40" s="505"/>
      <c r="U40" s="462">
        <f>IF(採点Q2!D108="対象外",0,採点Q2!D108)</f>
        <v>3</v>
      </c>
      <c r="V40" s="640">
        <f>重み!D40</f>
        <v>0.35</v>
      </c>
      <c r="W40" s="461"/>
      <c r="X40" s="343">
        <f>重み!E40</f>
        <v>0</v>
      </c>
      <c r="Y40" s="339"/>
      <c r="Z40" s="505"/>
      <c r="AA40" s="459">
        <f>重み!M40</f>
        <v>0.35</v>
      </c>
      <c r="AC40" s="459">
        <f>重み!N40</f>
        <v>0</v>
      </c>
      <c r="AE40" s="1916" t="s">
        <v>1260</v>
      </c>
      <c r="AF40" s="1916">
        <f>IF(AND(ISERROR(O40)=FALSE,ISERROR(P40)=FALSE),IF(AND(O40&gt;3,P40&gt;0),O40,0),0)</f>
        <v>0</v>
      </c>
      <c r="AG40" s="1917" t="str">
        <f t="shared" si="4"/>
        <v/>
      </c>
    </row>
    <row r="41" spans="1:33" ht="14.25" thickBot="1">
      <c r="A41" s="50"/>
      <c r="B41" s="240">
        <v>3</v>
      </c>
      <c r="C41" s="235" t="s">
        <v>332</v>
      </c>
      <c r="D41" s="226"/>
      <c r="E41" s="226"/>
      <c r="F41" s="227"/>
      <c r="G41" s="227"/>
      <c r="H41" s="1809"/>
      <c r="I41" s="1810"/>
      <c r="J41" s="2196"/>
      <c r="K41" s="2197"/>
      <c r="L41" s="2197"/>
      <c r="M41" s="2197"/>
      <c r="N41" s="2198"/>
      <c r="O41" s="280">
        <f t="shared" ref="O41:O86" si="8">ROUNDDOWN(U41,1)</f>
        <v>3</v>
      </c>
      <c r="P41" s="272">
        <f t="shared" ref="P41:P86" si="9">V41</f>
        <v>0.25</v>
      </c>
      <c r="Q41" s="280">
        <f t="shared" si="7"/>
        <v>0</v>
      </c>
      <c r="R41" s="272">
        <f t="shared" si="0"/>
        <v>0</v>
      </c>
      <c r="S41" s="273">
        <f>ROUNDDOWN(Y41,1)</f>
        <v>3</v>
      </c>
      <c r="T41" s="505"/>
      <c r="U41" s="340">
        <f>U42*V42+U43*V43</f>
        <v>3</v>
      </c>
      <c r="V41" s="640">
        <f>重み!D41</f>
        <v>0.25</v>
      </c>
      <c r="W41" s="461"/>
      <c r="X41" s="343">
        <f>重み!E41</f>
        <v>0</v>
      </c>
      <c r="Y41" s="339">
        <f>IF(W41=0,U41,IF(U41=0,W41,U41*AA$6+W41*AC$6))</f>
        <v>3</v>
      </c>
      <c r="Z41" s="505"/>
      <c r="AA41" s="459">
        <f>重み!M41</f>
        <v>0.25</v>
      </c>
      <c r="AC41" s="459">
        <f>重み!N41</f>
        <v>0</v>
      </c>
      <c r="AE41" s="1916"/>
      <c r="AF41" s="1916"/>
      <c r="AG41" s="1917"/>
    </row>
    <row r="42" spans="1:33" ht="13.5">
      <c r="A42" s="50"/>
      <c r="B42" s="229"/>
      <c r="C42" s="212">
        <v>3.1</v>
      </c>
      <c r="D42" s="226" t="s">
        <v>495</v>
      </c>
      <c r="E42" s="213"/>
      <c r="F42" s="227"/>
      <c r="G42" s="227"/>
      <c r="H42" s="1806"/>
      <c r="I42" s="1803"/>
      <c r="J42" s="2337">
        <f>採点Q2!I141</f>
        <v>0</v>
      </c>
      <c r="K42" s="2338"/>
      <c r="L42" s="2338"/>
      <c r="M42" s="2338"/>
      <c r="N42" s="2339"/>
      <c r="O42" s="688">
        <f t="shared" si="2"/>
        <v>3</v>
      </c>
      <c r="P42" s="263">
        <f t="shared" si="9"/>
        <v>0.5</v>
      </c>
      <c r="Q42" s="688">
        <f t="shared" si="7"/>
        <v>0</v>
      </c>
      <c r="R42" s="263">
        <f t="shared" si="0"/>
        <v>0</v>
      </c>
      <c r="S42" s="264"/>
      <c r="T42" s="505"/>
      <c r="U42" s="462">
        <f>IF(採点Q2!D128="対象外",0,採点Q2!D128)</f>
        <v>3</v>
      </c>
      <c r="V42" s="640">
        <f>重み!D42</f>
        <v>0.5</v>
      </c>
      <c r="W42" s="461"/>
      <c r="X42" s="343">
        <f>重み!E42</f>
        <v>0</v>
      </c>
      <c r="Y42" s="339"/>
      <c r="Z42" s="505"/>
      <c r="AA42" s="459">
        <f>重み!M42</f>
        <v>0.5</v>
      </c>
      <c r="AC42" s="459">
        <f>重み!N42</f>
        <v>0</v>
      </c>
      <c r="AE42" s="1916" t="s">
        <v>1261</v>
      </c>
      <c r="AF42" s="1916">
        <f>IF(AND(ISERROR(O42)=FALSE,ISERROR(P42)=FALSE),IF(AND(O42&gt;3,P42&gt;0),O42,0),0)</f>
        <v>0</v>
      </c>
      <c r="AG42" s="1917" t="str">
        <f t="shared" si="4"/>
        <v/>
      </c>
    </row>
    <row r="43" spans="1:33" s="396" customFormat="1" ht="14.25" thickBot="1">
      <c r="A43" s="50"/>
      <c r="B43" s="229"/>
      <c r="C43" s="224">
        <v>3.2</v>
      </c>
      <c r="D43" s="668" t="s">
        <v>496</v>
      </c>
      <c r="E43" s="214"/>
      <c r="F43" s="228"/>
      <c r="G43" s="228"/>
      <c r="H43" s="1829" t="s">
        <v>988</v>
      </c>
      <c r="I43" s="1830" t="s">
        <v>989</v>
      </c>
      <c r="J43" s="2337">
        <f>採点Q2!I152</f>
        <v>0</v>
      </c>
      <c r="K43" s="2338"/>
      <c r="L43" s="2338"/>
      <c r="M43" s="2338"/>
      <c r="N43" s="2350"/>
      <c r="O43" s="270">
        <f t="shared" si="2"/>
        <v>3</v>
      </c>
      <c r="P43" s="279">
        <f t="shared" si="9"/>
        <v>0.5</v>
      </c>
      <c r="Q43" s="270">
        <f t="shared" si="7"/>
        <v>0</v>
      </c>
      <c r="R43" s="279">
        <f t="shared" si="0"/>
        <v>0</v>
      </c>
      <c r="S43" s="264"/>
      <c r="T43" s="505"/>
      <c r="U43" s="462">
        <f>IF(採点Q2!D145="対象外",0,採点Q2!D145)</f>
        <v>3</v>
      </c>
      <c r="V43" s="640">
        <f>重み!D43</f>
        <v>0.5</v>
      </c>
      <c r="W43" s="461"/>
      <c r="X43" s="343">
        <f>重み!E43</f>
        <v>0</v>
      </c>
      <c r="Y43" s="339"/>
      <c r="Z43" s="505"/>
      <c r="AA43" s="459">
        <f>重み!M43</f>
        <v>0.5</v>
      </c>
      <c r="AB43" s="453"/>
      <c r="AC43" s="459">
        <f>重み!N43</f>
        <v>0</v>
      </c>
      <c r="AE43" s="1916" t="s">
        <v>1262</v>
      </c>
      <c r="AF43" s="1916">
        <f>IF(AND(ISERROR(O43)=FALSE,ISERROR(P43)=FALSE),IF(AND(O43&gt;3,P43&gt;0),O43,0),0)</f>
        <v>0</v>
      </c>
      <c r="AG43" s="1917" t="str">
        <f t="shared" si="4"/>
        <v/>
      </c>
    </row>
    <row r="44" spans="1:33" s="396" customFormat="1" ht="17.25" thickBot="1">
      <c r="A44" s="50"/>
      <c r="B44" s="231" t="s">
        <v>682</v>
      </c>
      <c r="C44" s="236" t="s">
        <v>497</v>
      </c>
      <c r="D44" s="669"/>
      <c r="E44" s="669"/>
      <c r="F44" s="237"/>
      <c r="G44" s="237"/>
      <c r="H44" s="1831"/>
      <c r="I44" s="1832"/>
      <c r="J44" s="2199"/>
      <c r="K44" s="2200"/>
      <c r="L44" s="2200"/>
      <c r="M44" s="2200"/>
      <c r="N44" s="2201"/>
      <c r="O44" s="378">
        <f t="shared" si="8"/>
        <v>0</v>
      </c>
      <c r="P44" s="276">
        <f t="shared" si="9"/>
        <v>0.25</v>
      </c>
      <c r="Q44" s="378">
        <f t="shared" si="7"/>
        <v>0</v>
      </c>
      <c r="R44" s="276">
        <f t="shared" si="0"/>
        <v>0</v>
      </c>
      <c r="S44" s="277">
        <f>ROUNDDOWN(Y44,1)</f>
        <v>2.6</v>
      </c>
      <c r="T44" s="505"/>
      <c r="U44" s="463"/>
      <c r="V44" s="639">
        <f>重み!D44</f>
        <v>0.25</v>
      </c>
      <c r="W44" s="461"/>
      <c r="X44" s="343">
        <f>重み!E44</f>
        <v>0</v>
      </c>
      <c r="Y44" s="339">
        <f>Y45*V45+Y46*V46+Y49*V49+V50*Y50</f>
        <v>2.5999999999999996</v>
      </c>
      <c r="Z44" s="505"/>
      <c r="AA44" s="459">
        <f>重み!M44</f>
        <v>0.25</v>
      </c>
      <c r="AB44" s="453"/>
      <c r="AC44" s="459">
        <f>重み!N44</f>
        <v>0</v>
      </c>
      <c r="AE44" s="1916"/>
      <c r="AF44" s="1916"/>
      <c r="AG44" s="1917"/>
    </row>
    <row r="45" spans="1:33" s="396" customFormat="1" ht="21.75" thickBot="1">
      <c r="A45" s="50"/>
      <c r="B45" s="207">
        <v>1</v>
      </c>
      <c r="C45" s="234" t="s">
        <v>330</v>
      </c>
      <c r="D45" s="222"/>
      <c r="E45" s="222"/>
      <c r="F45" s="210"/>
      <c r="G45" s="210"/>
      <c r="H45" s="1833" t="s">
        <v>990</v>
      </c>
      <c r="I45" s="1834" t="s">
        <v>991</v>
      </c>
      <c r="J45" s="2354"/>
      <c r="K45" s="2355"/>
      <c r="L45" s="2355"/>
      <c r="M45" s="2355"/>
      <c r="N45" s="2356"/>
      <c r="O45" s="283">
        <f t="shared" si="8"/>
        <v>3</v>
      </c>
      <c r="P45" s="279">
        <f t="shared" si="9"/>
        <v>0.3</v>
      </c>
      <c r="Q45" s="283">
        <f t="shared" si="7"/>
        <v>0</v>
      </c>
      <c r="R45" s="279">
        <f t="shared" si="0"/>
        <v>0</v>
      </c>
      <c r="S45" s="264">
        <f>ROUNDDOWN(Y45,1)</f>
        <v>3</v>
      </c>
      <c r="T45" s="505"/>
      <c r="U45" s="462">
        <f>IF(採点Q3!D8="対象外",0,採点Q3!D8)</f>
        <v>3</v>
      </c>
      <c r="V45" s="640">
        <f>重み!D45</f>
        <v>0.3</v>
      </c>
      <c r="W45" s="461"/>
      <c r="X45" s="343">
        <f>重み!E45</f>
        <v>0</v>
      </c>
      <c r="Y45" s="339">
        <f>IF(W45=0,U45,IF(U45=0,W45,U45*AA$6+W45*AC$6))</f>
        <v>3</v>
      </c>
      <c r="Z45" s="505"/>
      <c r="AA45" s="459">
        <f>重み!M45</f>
        <v>0.3</v>
      </c>
      <c r="AB45" s="453"/>
      <c r="AC45" s="459">
        <f>重み!N45</f>
        <v>0</v>
      </c>
      <c r="AE45" s="1916" t="s">
        <v>1263</v>
      </c>
      <c r="AF45" s="1916">
        <f>IF(AND(ISERROR(O45)=FALSE,ISERROR(P45)=FALSE),IF(AND(O45&gt;3,P45&gt;0),O45,0),0)</f>
        <v>0</v>
      </c>
      <c r="AG45" s="1917" t="str">
        <f t="shared" si="4"/>
        <v/>
      </c>
    </row>
    <row r="46" spans="1:33" s="396" customFormat="1" ht="14.25" thickBot="1">
      <c r="A46" s="50"/>
      <c r="B46" s="240">
        <v>2</v>
      </c>
      <c r="C46" s="239" t="s">
        <v>338</v>
      </c>
      <c r="D46" s="214"/>
      <c r="E46" s="214"/>
      <c r="F46" s="228"/>
      <c r="G46" s="228"/>
      <c r="H46" s="1835"/>
      <c r="I46" s="1836"/>
      <c r="J46" s="2196"/>
      <c r="K46" s="2197"/>
      <c r="L46" s="2197"/>
      <c r="M46" s="2197"/>
      <c r="N46" s="2198"/>
      <c r="O46" s="271">
        <f t="shared" si="8"/>
        <v>3</v>
      </c>
      <c r="P46" s="281">
        <f t="shared" si="9"/>
        <v>0.3</v>
      </c>
      <c r="Q46" s="271">
        <f t="shared" si="7"/>
        <v>0</v>
      </c>
      <c r="R46" s="281">
        <f t="shared" si="0"/>
        <v>0</v>
      </c>
      <c r="S46" s="273">
        <f>ROUNDDOWN(Y46,1)</f>
        <v>3</v>
      </c>
      <c r="T46" s="505"/>
      <c r="U46" s="340">
        <f>SUMPRODUCT(U47:U48,V47:V48)</f>
        <v>3</v>
      </c>
      <c r="V46" s="640">
        <f>重み!D46</f>
        <v>0.3</v>
      </c>
      <c r="W46" s="461"/>
      <c r="X46" s="343">
        <f>重み!E46</f>
        <v>0</v>
      </c>
      <c r="Y46" s="339">
        <f>IF(W46=0,U46,IF(U46=0,W46,U46*AA$6+W46*AC$6))</f>
        <v>3</v>
      </c>
      <c r="Z46" s="505"/>
      <c r="AA46" s="459">
        <f>重み!M46</f>
        <v>0.3</v>
      </c>
      <c r="AB46" s="453"/>
      <c r="AC46" s="459">
        <f>重み!N46</f>
        <v>0</v>
      </c>
      <c r="AE46" s="1916"/>
      <c r="AF46" s="1916"/>
      <c r="AG46" s="1917"/>
    </row>
    <row r="47" spans="1:33" s="396" customFormat="1" ht="13.5">
      <c r="A47" s="50"/>
      <c r="B47" s="642"/>
      <c r="C47" s="646">
        <v>2.1</v>
      </c>
      <c r="D47" s="670" t="s">
        <v>499</v>
      </c>
      <c r="E47" s="647"/>
      <c r="F47" s="230"/>
      <c r="G47" s="230"/>
      <c r="H47" s="1807" t="s">
        <v>992</v>
      </c>
      <c r="I47" s="1837" t="s">
        <v>989</v>
      </c>
      <c r="J47" s="2337">
        <f>採点Q3!I43</f>
        <v>0</v>
      </c>
      <c r="K47" s="2338"/>
      <c r="L47" s="2338"/>
      <c r="M47" s="2338"/>
      <c r="N47" s="2339"/>
      <c r="O47" s="688">
        <f t="shared" si="8"/>
        <v>3</v>
      </c>
      <c r="P47" s="279">
        <f t="shared" si="9"/>
        <v>0.65</v>
      </c>
      <c r="Q47" s="688">
        <f t="shared" si="7"/>
        <v>0</v>
      </c>
      <c r="R47" s="279">
        <f t="shared" si="0"/>
        <v>0</v>
      </c>
      <c r="S47" s="264"/>
      <c r="T47" s="505"/>
      <c r="U47" s="462">
        <f>IF(採点Q3!D36="対象外",0,採点Q3!D36)</f>
        <v>3</v>
      </c>
      <c r="V47" s="640">
        <f>重み!D47</f>
        <v>0.65</v>
      </c>
      <c r="W47" s="461"/>
      <c r="X47" s="343">
        <f>重み!E47</f>
        <v>0</v>
      </c>
      <c r="Y47" s="482"/>
      <c r="Z47" s="505"/>
      <c r="AA47" s="459">
        <f>重み!M47</f>
        <v>0.65</v>
      </c>
      <c r="AB47" s="453"/>
      <c r="AC47" s="459">
        <f>重み!N47</f>
        <v>0</v>
      </c>
      <c r="AE47" s="1916" t="s">
        <v>1266</v>
      </c>
      <c r="AF47" s="1916">
        <f>IF(AND(ISERROR(O47)=FALSE,ISERROR(P47)=FALSE),IF(AND(O47&gt;3,P47&gt;0),O47,0),0)</f>
        <v>0</v>
      </c>
      <c r="AG47" s="1917" t="str">
        <f t="shared" si="4"/>
        <v/>
      </c>
    </row>
    <row r="48" spans="1:33" ht="13.5">
      <c r="A48" s="50"/>
      <c r="B48" s="251"/>
      <c r="C48" s="242">
        <v>2.2000000000000002</v>
      </c>
      <c r="D48" s="668" t="s">
        <v>500</v>
      </c>
      <c r="E48" s="648"/>
      <c r="F48" s="228"/>
      <c r="G48" s="228"/>
      <c r="H48" s="1806"/>
      <c r="I48" s="1803"/>
      <c r="J48" s="2337">
        <f>採点Q3!I62</f>
        <v>0</v>
      </c>
      <c r="K48" s="2338"/>
      <c r="L48" s="2338"/>
      <c r="M48" s="2338"/>
      <c r="N48" s="2339"/>
      <c r="O48" s="285">
        <f t="shared" si="8"/>
        <v>3</v>
      </c>
      <c r="P48" s="279">
        <f t="shared" si="9"/>
        <v>0.35</v>
      </c>
      <c r="Q48" s="285">
        <f t="shared" si="7"/>
        <v>0</v>
      </c>
      <c r="R48" s="279">
        <f t="shared" si="0"/>
        <v>0</v>
      </c>
      <c r="S48" s="264"/>
      <c r="T48" s="505"/>
      <c r="U48" s="462">
        <f>IF(採点Q3!D47="対象外",0,採点Q3!D47)</f>
        <v>3</v>
      </c>
      <c r="V48" s="640">
        <f>重み!D48</f>
        <v>0.35</v>
      </c>
      <c r="W48" s="461"/>
      <c r="X48" s="343">
        <f>重み!E48</f>
        <v>0</v>
      </c>
      <c r="Y48" s="482"/>
      <c r="Z48" s="505"/>
      <c r="AA48" s="459">
        <f>重み!M48</f>
        <v>0.35</v>
      </c>
      <c r="AC48" s="459">
        <f>重み!N48</f>
        <v>0</v>
      </c>
      <c r="AE48" s="1916" t="s">
        <v>1267</v>
      </c>
      <c r="AF48" s="1916">
        <f>IF(AND(ISERROR(O48)=FALSE,ISERROR(P48)=FALSE),IF(AND(O48&gt;3,P48&gt;0),O48,0),0)</f>
        <v>0</v>
      </c>
      <c r="AG48" s="1917" t="str">
        <f t="shared" si="4"/>
        <v/>
      </c>
    </row>
    <row r="49" spans="1:33" s="396" customFormat="1" ht="13.5">
      <c r="A49" s="50"/>
      <c r="B49" s="238">
        <v>3</v>
      </c>
      <c r="C49" s="225" t="s">
        <v>498</v>
      </c>
      <c r="D49" s="214"/>
      <c r="E49" s="214"/>
      <c r="F49" s="228"/>
      <c r="G49" s="228"/>
      <c r="H49" s="1838" t="s">
        <v>992</v>
      </c>
      <c r="I49" s="1839" t="s">
        <v>993</v>
      </c>
      <c r="J49" s="2342">
        <f>採点Q3!I82</f>
        <v>0</v>
      </c>
      <c r="K49" s="2343"/>
      <c r="L49" s="2343"/>
      <c r="M49" s="2343"/>
      <c r="N49" s="2343"/>
      <c r="O49" s="692">
        <f t="shared" si="8"/>
        <v>2</v>
      </c>
      <c r="P49" s="691">
        <f>V49</f>
        <v>0.2</v>
      </c>
      <c r="Q49" s="692">
        <f t="shared" si="7"/>
        <v>0</v>
      </c>
      <c r="R49" s="691">
        <f t="shared" si="0"/>
        <v>0</v>
      </c>
      <c r="S49" s="273">
        <f>ROUNDDOWN(Y49,1)</f>
        <v>2</v>
      </c>
      <c r="T49" s="505"/>
      <c r="U49" s="462">
        <f>IF(採点Q3!D66="対象外",0,採点Q3!D66)</f>
        <v>2</v>
      </c>
      <c r="V49" s="640">
        <f>重み!D49</f>
        <v>0.2</v>
      </c>
      <c r="W49" s="461"/>
      <c r="X49" s="343">
        <f>重み!E49</f>
        <v>0</v>
      </c>
      <c r="Y49" s="339">
        <f>IF(W49=0,U49,IF(U49=0,W49,U49*AA$6+W49*AC$6))</f>
        <v>2</v>
      </c>
      <c r="Z49" s="505"/>
      <c r="AA49" s="459">
        <f>重み!M49</f>
        <v>0.2</v>
      </c>
      <c r="AB49" s="453"/>
      <c r="AC49" s="459">
        <f>重み!N49</f>
        <v>0</v>
      </c>
      <c r="AE49" s="1916" t="s">
        <v>1264</v>
      </c>
      <c r="AF49" s="1916">
        <f>IF(AND(ISERROR(O49)=FALSE,ISERROR(P49)=FALSE),IF(AND(O49&gt;3,P49&gt;0),O49,0),0)</f>
        <v>0</v>
      </c>
      <c r="AG49" s="1917" t="str">
        <f t="shared" si="4"/>
        <v/>
      </c>
    </row>
    <row r="50" spans="1:33" ht="14.25" thickBot="1">
      <c r="A50" s="50"/>
      <c r="B50" s="500">
        <v>4</v>
      </c>
      <c r="C50" s="501" t="s">
        <v>713</v>
      </c>
      <c r="D50" s="483"/>
      <c r="E50" s="671"/>
      <c r="F50" s="502"/>
      <c r="G50" s="502"/>
      <c r="H50" s="1807" t="s">
        <v>992</v>
      </c>
      <c r="I50" s="1840" t="s">
        <v>993</v>
      </c>
      <c r="J50" s="2337">
        <f>採点Q3!I104</f>
        <v>0</v>
      </c>
      <c r="K50" s="2338"/>
      <c r="L50" s="2338"/>
      <c r="M50" s="2338"/>
      <c r="N50" s="2339"/>
      <c r="O50" s="270">
        <f t="shared" si="8"/>
        <v>2</v>
      </c>
      <c r="P50" s="479">
        <f t="shared" si="9"/>
        <v>0.2</v>
      </c>
      <c r="Q50" s="270">
        <f t="shared" si="7"/>
        <v>0</v>
      </c>
      <c r="R50" s="479">
        <f t="shared" si="0"/>
        <v>0</v>
      </c>
      <c r="S50" s="273">
        <f>ROUNDDOWN(Y50,1)</f>
        <v>2</v>
      </c>
      <c r="T50" s="505"/>
      <c r="U50" s="462">
        <f>IF(採点Q3!D86="対象外",0,採点Q3!D86)</f>
        <v>2</v>
      </c>
      <c r="V50" s="640">
        <f>重み!D50</f>
        <v>0.2</v>
      </c>
      <c r="W50" s="461"/>
      <c r="X50" s="343">
        <f>重み!E50</f>
        <v>0</v>
      </c>
      <c r="Y50" s="339">
        <f>IF(W50=0,U50,IF(U50=0,W50,U50*AA$6+W50*AC$6))</f>
        <v>2</v>
      </c>
      <c r="Z50" s="505"/>
      <c r="AA50" s="459">
        <f>重み!M50</f>
        <v>0.2</v>
      </c>
      <c r="AC50" s="459">
        <f>重み!N50</f>
        <v>0</v>
      </c>
      <c r="AE50" s="1916" t="s">
        <v>1265</v>
      </c>
      <c r="AF50" s="1916">
        <f>IF(AND(ISERROR(O50)=FALSE,ISERROR(P50)=FALSE),IF(AND(O50&gt;3,P50&gt;0),O50,0),0)</f>
        <v>0</v>
      </c>
      <c r="AG50" s="1917" t="str">
        <f t="shared" si="4"/>
        <v/>
      </c>
    </row>
    <row r="51" spans="1:33" ht="19.5" thickBot="1">
      <c r="A51" s="50"/>
      <c r="B51" s="244" t="s">
        <v>683</v>
      </c>
      <c r="C51" s="245"/>
      <c r="D51" s="672"/>
      <c r="E51" s="672"/>
      <c r="F51" s="246"/>
      <c r="G51" s="246"/>
      <c r="H51" s="1841"/>
      <c r="I51" s="1842"/>
      <c r="J51" s="2207"/>
      <c r="K51" s="2208"/>
      <c r="L51" s="2208"/>
      <c r="M51" s="2208"/>
      <c r="N51" s="2209"/>
      <c r="O51" s="682">
        <f>ROUNDDOWN(U51,1)</f>
        <v>0</v>
      </c>
      <c r="P51" s="282">
        <f t="shared" si="9"/>
        <v>0</v>
      </c>
      <c r="Q51" s="682">
        <f t="shared" si="7"/>
        <v>0</v>
      </c>
      <c r="R51" s="282">
        <f t="shared" si="0"/>
        <v>0</v>
      </c>
      <c r="S51" s="1107" t="e">
        <f>ROUNDDOWN(Y51,1)</f>
        <v>#VALUE!</v>
      </c>
      <c r="T51" s="505"/>
      <c r="U51" s="463"/>
      <c r="V51" s="640">
        <f>重み!D51</f>
        <v>0</v>
      </c>
      <c r="W51" s="461"/>
      <c r="X51" s="343">
        <f>重み!E51</f>
        <v>0</v>
      </c>
      <c r="Y51" s="339" t="e">
        <f>V52*Y52+V62*Y62+V79*Y79</f>
        <v>#VALUE!</v>
      </c>
      <c r="Z51" s="505"/>
      <c r="AA51" s="459">
        <f>重み!M51</f>
        <v>0</v>
      </c>
      <c r="AC51" s="459">
        <f>重み!N51</f>
        <v>0</v>
      </c>
      <c r="AE51" s="1916"/>
      <c r="AF51" s="1916"/>
      <c r="AG51" s="1917"/>
    </row>
    <row r="52" spans="1:33" ht="17.25" thickBot="1">
      <c r="A52" s="50"/>
      <c r="B52" s="247" t="s">
        <v>684</v>
      </c>
      <c r="C52" s="205" t="s">
        <v>785</v>
      </c>
      <c r="D52" s="659"/>
      <c r="E52" s="659"/>
      <c r="F52" s="248"/>
      <c r="G52" s="248"/>
      <c r="H52" s="1799"/>
      <c r="I52" s="1845"/>
      <c r="J52" s="2210"/>
      <c r="K52" s="2211"/>
      <c r="L52" s="2211"/>
      <c r="M52" s="2211"/>
      <c r="N52" s="2212"/>
      <c r="O52" s="683">
        <f>ROUNDDOWN(U52,1)</f>
        <v>0</v>
      </c>
      <c r="P52" s="195" t="e">
        <f t="shared" si="9"/>
        <v>#VALUE!</v>
      </c>
      <c r="Q52" s="683">
        <f t="shared" si="7"/>
        <v>0</v>
      </c>
      <c r="R52" s="195">
        <f t="shared" si="0"/>
        <v>0</v>
      </c>
      <c r="S52" s="196">
        <f>ROUNDDOWN(Y52,1)</f>
        <v>4.3</v>
      </c>
      <c r="T52" s="505"/>
      <c r="U52" s="463"/>
      <c r="V52" s="639" t="e">
        <f>重み!D52</f>
        <v>#VALUE!</v>
      </c>
      <c r="W52" s="461"/>
      <c r="X52" s="343">
        <f>重み!E52</f>
        <v>0</v>
      </c>
      <c r="Y52" s="503">
        <f>Y53*V53+Y56*V56+Y59*V59</f>
        <v>4.3499999999999996</v>
      </c>
      <c r="Z52" s="505"/>
      <c r="AA52" s="459">
        <f>重み!M52</f>
        <v>0.35</v>
      </c>
      <c r="AC52" s="459">
        <f>重み!N52</f>
        <v>0</v>
      </c>
      <c r="AE52" s="1916"/>
      <c r="AF52" s="1916"/>
      <c r="AG52" s="1917"/>
    </row>
    <row r="53" spans="1:33" ht="14.25" thickBot="1">
      <c r="A53" s="50"/>
      <c r="B53" s="207">
        <v>1</v>
      </c>
      <c r="C53" s="208" t="s">
        <v>623</v>
      </c>
      <c r="D53" s="660"/>
      <c r="E53" s="660"/>
      <c r="F53" s="294"/>
      <c r="G53" s="294"/>
      <c r="H53" s="1806"/>
      <c r="I53" s="1846"/>
      <c r="J53" s="2196"/>
      <c r="K53" s="2197"/>
      <c r="L53" s="2197"/>
      <c r="M53" s="2197"/>
      <c r="N53" s="2198"/>
      <c r="O53" s="271">
        <f t="shared" si="8"/>
        <v>4.8</v>
      </c>
      <c r="P53" s="684">
        <f t="shared" si="9"/>
        <v>0.75</v>
      </c>
      <c r="Q53" s="271">
        <f t="shared" si="7"/>
        <v>0</v>
      </c>
      <c r="R53" s="684">
        <f t="shared" si="0"/>
        <v>0</v>
      </c>
      <c r="S53" s="685">
        <f>ROUNDDOWN(Y53,1)</f>
        <v>4.8</v>
      </c>
      <c r="T53" s="505"/>
      <c r="U53" s="340">
        <f>U54*V54+U55*V55</f>
        <v>4.8</v>
      </c>
      <c r="V53" s="640">
        <f>重み!D53</f>
        <v>0.75</v>
      </c>
      <c r="W53" s="461"/>
      <c r="X53" s="343">
        <f>重み!E53</f>
        <v>0</v>
      </c>
      <c r="Y53" s="339">
        <f>IF(W53=0,U53,U53*AA$6+W53*AC$6)</f>
        <v>4.8</v>
      </c>
      <c r="Z53" s="505"/>
      <c r="AA53" s="459">
        <f>重み!M53</f>
        <v>0.75</v>
      </c>
      <c r="AC53" s="459">
        <f>重み!N53</f>
        <v>0</v>
      </c>
      <c r="AE53" s="1916"/>
      <c r="AF53" s="1916"/>
      <c r="AG53" s="1917"/>
    </row>
    <row r="54" spans="1:33" ht="13.5">
      <c r="A54" s="50"/>
      <c r="B54" s="207"/>
      <c r="C54" s="646">
        <v>1.1000000000000001</v>
      </c>
      <c r="D54" s="668" t="s">
        <v>616</v>
      </c>
      <c r="E54" s="668"/>
      <c r="F54" s="249"/>
      <c r="G54" s="249"/>
      <c r="H54" s="1843" t="s">
        <v>985</v>
      </c>
      <c r="I54" s="1844" t="s">
        <v>986</v>
      </c>
      <c r="J54" s="2337">
        <f>採点LR1!I45</f>
        <v>0</v>
      </c>
      <c r="K54" s="2338"/>
      <c r="L54" s="2338"/>
      <c r="M54" s="2338"/>
      <c r="N54" s="2339"/>
      <c r="O54" s="688">
        <f t="shared" si="8"/>
        <v>5</v>
      </c>
      <c r="P54" s="279">
        <f>V54</f>
        <v>0.9</v>
      </c>
      <c r="Q54" s="688">
        <f t="shared" si="7"/>
        <v>0</v>
      </c>
      <c r="R54" s="279"/>
      <c r="S54" s="264"/>
      <c r="T54" s="505"/>
      <c r="U54" s="462">
        <f>IF(採点LR1!D8="対象外",0,採点LR1!D8)</f>
        <v>5</v>
      </c>
      <c r="V54" s="640">
        <f>重み!D54</f>
        <v>0.9</v>
      </c>
      <c r="W54" s="461"/>
      <c r="X54" s="343">
        <f>重み!E54</f>
        <v>0</v>
      </c>
      <c r="Y54" s="482"/>
      <c r="Z54" s="505"/>
      <c r="AA54" s="459">
        <f>重み!M54</f>
        <v>0.9</v>
      </c>
      <c r="AC54" s="459">
        <f>重み!N54</f>
        <v>0</v>
      </c>
      <c r="AE54" s="1916" t="s">
        <v>1268</v>
      </c>
      <c r="AF54" s="1916">
        <f>IF(AND(ISERROR(O54)=FALSE,ISERROR(P54)=FALSE),IF(AND(O54&gt;3,P54&gt;0),O54,0),0)</f>
        <v>5</v>
      </c>
      <c r="AG54" s="1917" t="str">
        <f t="shared" si="4"/>
        <v/>
      </c>
    </row>
    <row r="55" spans="1:33" s="396" customFormat="1" ht="14.25" thickBot="1">
      <c r="A55" s="50"/>
      <c r="B55" s="252"/>
      <c r="C55" s="224">
        <v>1.2</v>
      </c>
      <c r="D55" s="668" t="s">
        <v>619</v>
      </c>
      <c r="E55" s="214"/>
      <c r="F55" s="228"/>
      <c r="G55" s="228"/>
      <c r="H55" s="2183"/>
      <c r="I55" s="2184"/>
      <c r="J55" s="2337">
        <f>採点LR1!I76</f>
        <v>0</v>
      </c>
      <c r="K55" s="2339"/>
      <c r="L55" s="2339"/>
      <c r="M55" s="2339"/>
      <c r="N55" s="2339"/>
      <c r="O55" s="270">
        <f t="shared" si="8"/>
        <v>3</v>
      </c>
      <c r="P55" s="279">
        <f t="shared" si="9"/>
        <v>0.1</v>
      </c>
      <c r="Q55" s="285">
        <f t="shared" si="7"/>
        <v>0</v>
      </c>
      <c r="R55" s="279">
        <f t="shared" ref="R55:R62" si="10">X55</f>
        <v>0</v>
      </c>
      <c r="S55" s="264"/>
      <c r="T55" s="505"/>
      <c r="U55" s="462">
        <f>IF(採点LR1!D60="対象外",0,採点LR1!D60)</f>
        <v>3</v>
      </c>
      <c r="V55" s="640">
        <f>重み!D55</f>
        <v>0.1</v>
      </c>
      <c r="W55" s="461"/>
      <c r="X55" s="343">
        <f>重み!E55</f>
        <v>0</v>
      </c>
      <c r="Y55" s="482"/>
      <c r="Z55" s="505"/>
      <c r="AA55" s="459">
        <f>重み!M55</f>
        <v>0.1</v>
      </c>
      <c r="AB55" s="453"/>
      <c r="AC55" s="459">
        <f>重み!N55</f>
        <v>0</v>
      </c>
      <c r="AE55" s="1916" t="s">
        <v>1269</v>
      </c>
      <c r="AF55" s="1916">
        <f>IF(AND(ISERROR(O55)=FALSE,ISERROR(P55)=FALSE),IF(AND(O55&gt;3,P55&gt;0),O55,0),0)</f>
        <v>0</v>
      </c>
      <c r="AG55" s="1917" t="str">
        <f t="shared" si="4"/>
        <v/>
      </c>
    </row>
    <row r="56" spans="1:33" ht="14.25" thickBot="1">
      <c r="A56" s="50"/>
      <c r="B56" s="250">
        <v>2</v>
      </c>
      <c r="C56" s="225" t="s">
        <v>501</v>
      </c>
      <c r="D56" s="668"/>
      <c r="E56" s="668"/>
      <c r="F56" s="249"/>
      <c r="G56" s="249"/>
      <c r="H56" s="1835"/>
      <c r="I56" s="1847"/>
      <c r="J56" s="2196"/>
      <c r="K56" s="2197"/>
      <c r="L56" s="2197"/>
      <c r="M56" s="2197"/>
      <c r="N56" s="2198"/>
      <c r="O56" s="262">
        <f t="shared" si="8"/>
        <v>3</v>
      </c>
      <c r="P56" s="272">
        <f t="shared" si="9"/>
        <v>0.15</v>
      </c>
      <c r="Q56" s="262">
        <f t="shared" si="7"/>
        <v>0</v>
      </c>
      <c r="R56" s="272">
        <f t="shared" si="10"/>
        <v>0</v>
      </c>
      <c r="S56" s="273">
        <f>ROUNDDOWN(Y56,1)</f>
        <v>3</v>
      </c>
      <c r="T56" s="505"/>
      <c r="U56" s="340">
        <f>U57*V57+U58*V58</f>
        <v>3</v>
      </c>
      <c r="V56" s="640">
        <f>重み!D56</f>
        <v>0.15</v>
      </c>
      <c r="W56" s="461"/>
      <c r="X56" s="343">
        <f>重み!E56</f>
        <v>0</v>
      </c>
      <c r="Y56" s="339">
        <f>IF(W56=0,U56,U56*AA$6+W56*AC$6)</f>
        <v>3</v>
      </c>
      <c r="Z56" s="505"/>
      <c r="AA56" s="459">
        <f>重み!M56</f>
        <v>0.15</v>
      </c>
      <c r="AC56" s="459">
        <f>重み!N56</f>
        <v>0</v>
      </c>
      <c r="AE56" s="1916"/>
      <c r="AF56" s="1916"/>
      <c r="AG56" s="1917"/>
    </row>
    <row r="57" spans="1:33" ht="13.5">
      <c r="A57" s="50"/>
      <c r="B57" s="252"/>
      <c r="C57" s="242">
        <v>2.1</v>
      </c>
      <c r="D57" s="668" t="s">
        <v>502</v>
      </c>
      <c r="E57" s="214"/>
      <c r="F57" s="228"/>
      <c r="G57" s="228"/>
      <c r="H57" s="1806"/>
      <c r="I57" s="1803"/>
      <c r="J57" s="2337">
        <f>採点LR1!I95</f>
        <v>0</v>
      </c>
      <c r="K57" s="2338"/>
      <c r="L57" s="2338"/>
      <c r="M57" s="2338"/>
      <c r="N57" s="2339"/>
      <c r="O57" s="688">
        <f t="shared" si="8"/>
        <v>3</v>
      </c>
      <c r="P57" s="279">
        <f t="shared" si="9"/>
        <v>0.75</v>
      </c>
      <c r="Q57" s="688">
        <f t="shared" si="7"/>
        <v>0</v>
      </c>
      <c r="R57" s="279">
        <f t="shared" si="10"/>
        <v>0</v>
      </c>
      <c r="S57" s="264"/>
      <c r="T57" s="505"/>
      <c r="U57" s="462">
        <f>IF(採点LR1!D82="対象外",0,採点LR1!D82)</f>
        <v>3</v>
      </c>
      <c r="V57" s="640">
        <f>重み!D57</f>
        <v>0.75</v>
      </c>
      <c r="W57" s="461"/>
      <c r="X57" s="343">
        <f>重み!E57</f>
        <v>0</v>
      </c>
      <c r="Y57" s="339"/>
      <c r="Z57" s="505"/>
      <c r="AA57" s="459">
        <f>重み!M57</f>
        <v>0.75</v>
      </c>
      <c r="AC57" s="459">
        <f>重み!N57</f>
        <v>0</v>
      </c>
      <c r="AE57" s="1916" t="s">
        <v>1270</v>
      </c>
      <c r="AF57" s="1916">
        <f>IF(AND(ISERROR(O57)=FALSE,ISERROR(P57)=FALSE),IF(AND(O57&gt;3,P57&gt;0),O57,0),0)</f>
        <v>0</v>
      </c>
      <c r="AG57" s="1917" t="str">
        <f t="shared" si="4"/>
        <v/>
      </c>
    </row>
    <row r="58" spans="1:33" ht="14.25" thickBot="1">
      <c r="A58" s="50"/>
      <c r="B58" s="252"/>
      <c r="C58" s="242">
        <v>2.2000000000000002</v>
      </c>
      <c r="D58" s="668" t="s">
        <v>504</v>
      </c>
      <c r="E58" s="214"/>
      <c r="F58" s="228"/>
      <c r="G58" s="228"/>
      <c r="H58" s="1807" t="s">
        <v>985</v>
      </c>
      <c r="I58" s="1808" t="s">
        <v>987</v>
      </c>
      <c r="J58" s="2337">
        <f>採点LR1!I106</f>
        <v>0</v>
      </c>
      <c r="K58" s="2338"/>
      <c r="L58" s="2338"/>
      <c r="M58" s="2338"/>
      <c r="N58" s="2339"/>
      <c r="O58" s="270">
        <f t="shared" si="8"/>
        <v>3</v>
      </c>
      <c r="P58" s="279">
        <f t="shared" si="9"/>
        <v>0.25</v>
      </c>
      <c r="Q58" s="270">
        <f t="shared" si="7"/>
        <v>0</v>
      </c>
      <c r="R58" s="279">
        <f t="shared" si="10"/>
        <v>0</v>
      </c>
      <c r="S58" s="264"/>
      <c r="T58" s="505"/>
      <c r="U58" s="462">
        <f>IF(採点LR1!D99="対象外",0,採点LR1!D99)</f>
        <v>3</v>
      </c>
      <c r="V58" s="640">
        <f>重み!D58</f>
        <v>0.25</v>
      </c>
      <c r="W58" s="461"/>
      <c r="X58" s="343">
        <f>重み!E58</f>
        <v>0</v>
      </c>
      <c r="Y58" s="339"/>
      <c r="Z58" s="505"/>
      <c r="AA58" s="459">
        <f>重み!M58</f>
        <v>0.25</v>
      </c>
      <c r="AC58" s="459">
        <f>重み!N58</f>
        <v>0</v>
      </c>
      <c r="AE58" s="1916" t="s">
        <v>1271</v>
      </c>
      <c r="AF58" s="1916">
        <f>IF(AND(ISERROR(O58)=FALSE,ISERROR(P58)=FALSE),IF(AND(O58&gt;3,P58&gt;0),O58,0),0)</f>
        <v>0</v>
      </c>
      <c r="AG58" s="1917" t="str">
        <f t="shared" si="4"/>
        <v/>
      </c>
    </row>
    <row r="59" spans="1:33" ht="14.25" thickBot="1">
      <c r="A59" s="50"/>
      <c r="B59" s="250">
        <v>3</v>
      </c>
      <c r="C59" s="209" t="s">
        <v>506</v>
      </c>
      <c r="D59" s="660"/>
      <c r="E59" s="660"/>
      <c r="F59" s="210"/>
      <c r="G59" s="210"/>
      <c r="H59" s="1809"/>
      <c r="I59" s="1810"/>
      <c r="J59" s="2196"/>
      <c r="K59" s="2197"/>
      <c r="L59" s="2197"/>
      <c r="M59" s="2197"/>
      <c r="N59" s="2198"/>
      <c r="O59" s="465">
        <f t="shared" si="8"/>
        <v>3</v>
      </c>
      <c r="P59" s="272">
        <f t="shared" si="9"/>
        <v>0.1</v>
      </c>
      <c r="Q59" s="465">
        <f t="shared" si="7"/>
        <v>0</v>
      </c>
      <c r="R59" s="272">
        <f t="shared" si="10"/>
        <v>0</v>
      </c>
      <c r="S59" s="273">
        <f>ROUNDDOWN(Y59,1)</f>
        <v>3</v>
      </c>
      <c r="T59" s="505"/>
      <c r="U59" s="340">
        <f>U60*V60+U61*V61</f>
        <v>3</v>
      </c>
      <c r="V59" s="640">
        <f>重み!D59</f>
        <v>0.1</v>
      </c>
      <c r="W59" s="461"/>
      <c r="X59" s="343">
        <f>重み!E59</f>
        <v>0</v>
      </c>
      <c r="Y59" s="339">
        <f>IF(W59=0,U59,U59*AA$6+W59*AC$6)</f>
        <v>3</v>
      </c>
      <c r="Z59" s="505"/>
      <c r="AA59" s="459">
        <f>重み!M59</f>
        <v>0.1</v>
      </c>
      <c r="AC59" s="459">
        <f>重み!N59</f>
        <v>0</v>
      </c>
      <c r="AE59" s="1916"/>
      <c r="AF59" s="1916"/>
      <c r="AG59" s="1917"/>
    </row>
    <row r="60" spans="1:33" ht="13.5">
      <c r="A60" s="50"/>
      <c r="B60" s="253"/>
      <c r="C60" s="224">
        <v>3.1</v>
      </c>
      <c r="D60" s="668" t="s">
        <v>41</v>
      </c>
      <c r="E60" s="214"/>
      <c r="F60" s="228"/>
      <c r="G60" s="228"/>
      <c r="H60" s="1807" t="s">
        <v>992</v>
      </c>
      <c r="I60" s="1808" t="s">
        <v>987</v>
      </c>
      <c r="J60" s="2337">
        <f>採点LR1!I119</f>
        <v>0</v>
      </c>
      <c r="K60" s="2338"/>
      <c r="L60" s="2338"/>
      <c r="M60" s="2338"/>
      <c r="N60" s="2339"/>
      <c r="O60" s="688">
        <f t="shared" si="8"/>
        <v>3</v>
      </c>
      <c r="P60" s="279">
        <f t="shared" si="9"/>
        <v>0.5</v>
      </c>
      <c r="Q60" s="688">
        <f t="shared" si="7"/>
        <v>0</v>
      </c>
      <c r="R60" s="279">
        <f t="shared" si="10"/>
        <v>0</v>
      </c>
      <c r="S60" s="264"/>
      <c r="T60" s="505"/>
      <c r="U60" s="462">
        <f>IF(採点LR1!D111="対象外",0,採点LR1!D111)</f>
        <v>3</v>
      </c>
      <c r="V60" s="640">
        <f>重み!D60</f>
        <v>0.5</v>
      </c>
      <c r="W60" s="461"/>
      <c r="X60" s="343">
        <f>重み!E60</f>
        <v>0</v>
      </c>
      <c r="Y60" s="339"/>
      <c r="Z60" s="505"/>
      <c r="AA60" s="459">
        <f>重み!M60</f>
        <v>0.5</v>
      </c>
      <c r="AC60" s="459">
        <f>重み!N60</f>
        <v>0</v>
      </c>
      <c r="AE60" s="1916" t="s">
        <v>1272</v>
      </c>
      <c r="AF60" s="1916">
        <f>IF(AND(ISERROR(O60)=FALSE,ISERROR(P60)=FALSE),IF(AND(O60&gt;3,P60&gt;0),O60,0),0)</f>
        <v>0</v>
      </c>
      <c r="AG60" s="1917" t="str">
        <f t="shared" si="4"/>
        <v/>
      </c>
    </row>
    <row r="61" spans="1:33" ht="14.25" thickBot="1">
      <c r="A61" s="50"/>
      <c r="B61" s="254"/>
      <c r="C61" s="255">
        <v>3.2</v>
      </c>
      <c r="D61" s="674" t="s">
        <v>505</v>
      </c>
      <c r="E61" s="293"/>
      <c r="F61" s="256"/>
      <c r="G61" s="256"/>
      <c r="H61" s="1806"/>
      <c r="I61" s="1803"/>
      <c r="J61" s="2337">
        <f>採点LR1!I130</f>
        <v>0</v>
      </c>
      <c r="K61" s="2338"/>
      <c r="L61" s="2338"/>
      <c r="M61" s="2338"/>
      <c r="N61" s="2339"/>
      <c r="O61" s="270">
        <f t="shared" si="8"/>
        <v>3</v>
      </c>
      <c r="P61" s="279">
        <f t="shared" si="9"/>
        <v>0.5</v>
      </c>
      <c r="Q61" s="270">
        <f t="shared" si="7"/>
        <v>0</v>
      </c>
      <c r="R61" s="279">
        <f t="shared" si="10"/>
        <v>0</v>
      </c>
      <c r="S61" s="275"/>
      <c r="T61" s="505"/>
      <c r="U61" s="462">
        <f>IF(採点LR1!D123="対象外",0,採点LR1!D123)</f>
        <v>3</v>
      </c>
      <c r="V61" s="640">
        <f>重み!D61</f>
        <v>0.5</v>
      </c>
      <c r="W61" s="461"/>
      <c r="X61" s="343">
        <f>重み!E61</f>
        <v>0</v>
      </c>
      <c r="Y61" s="339"/>
      <c r="Z61" s="505"/>
      <c r="AA61" s="459">
        <f>重み!M61</f>
        <v>0.5</v>
      </c>
      <c r="AC61" s="459">
        <f>重み!N61</f>
        <v>0</v>
      </c>
      <c r="AE61" s="1916" t="s">
        <v>1273</v>
      </c>
      <c r="AF61" s="1916">
        <f>IF(AND(ISERROR(O61)=FALSE,ISERROR(P61)=FALSE),IF(AND(O61&gt;3,P61&gt;0),O61,0),0)</f>
        <v>0</v>
      </c>
      <c r="AG61" s="1917" t="str">
        <f t="shared" si="4"/>
        <v/>
      </c>
    </row>
    <row r="62" spans="1:33" ht="17.25" thickBot="1">
      <c r="A62" s="50"/>
      <c r="B62" s="231" t="s">
        <v>685</v>
      </c>
      <c r="C62" s="236" t="s">
        <v>327</v>
      </c>
      <c r="D62" s="669"/>
      <c r="E62" s="669"/>
      <c r="F62" s="237"/>
      <c r="G62" s="237"/>
      <c r="H62" s="1848"/>
      <c r="I62" s="1849"/>
      <c r="J62" s="2199"/>
      <c r="K62" s="2200"/>
      <c r="L62" s="2200"/>
      <c r="M62" s="2200"/>
      <c r="N62" s="2201"/>
      <c r="O62" s="379">
        <f t="shared" si="8"/>
        <v>0</v>
      </c>
      <c r="P62" s="276" t="e">
        <f>V62</f>
        <v>#VALUE!</v>
      </c>
      <c r="Q62" s="379">
        <f t="shared" si="7"/>
        <v>0</v>
      </c>
      <c r="R62" s="276">
        <f t="shared" si="10"/>
        <v>0</v>
      </c>
      <c r="S62" s="277">
        <f>ROUNDDOWN(Y62,1)</f>
        <v>3</v>
      </c>
      <c r="T62" s="505"/>
      <c r="U62" s="463"/>
      <c r="V62" s="639" t="e">
        <f>重み!D62</f>
        <v>#VALUE!</v>
      </c>
      <c r="W62" s="461"/>
      <c r="X62" s="343">
        <f>重み!E62</f>
        <v>0</v>
      </c>
      <c r="Y62" s="339">
        <f>Y63*V63+Y72*V72+V76*Y76</f>
        <v>3.0000000000000009</v>
      </c>
      <c r="Z62" s="505"/>
      <c r="AA62" s="459">
        <f>重み!M62</f>
        <v>0.35</v>
      </c>
      <c r="AC62" s="459">
        <f>重み!N62</f>
        <v>0</v>
      </c>
      <c r="AE62" s="1916"/>
      <c r="AF62" s="1916"/>
      <c r="AG62" s="1917"/>
    </row>
    <row r="63" spans="1:33" ht="13.5">
      <c r="A63" s="50"/>
      <c r="B63" s="297">
        <v>1</v>
      </c>
      <c r="C63" s="209" t="s">
        <v>1101</v>
      </c>
      <c r="D63" s="660"/>
      <c r="E63" s="660"/>
      <c r="F63" s="210"/>
      <c r="G63" s="210"/>
      <c r="H63" s="1806"/>
      <c r="I63" s="1803"/>
      <c r="J63" s="2213"/>
      <c r="K63" s="2204"/>
      <c r="L63" s="2204"/>
      <c r="M63" s="2204"/>
      <c r="N63" s="2214"/>
      <c r="O63" s="292">
        <f t="shared" si="8"/>
        <v>3</v>
      </c>
      <c r="P63" s="693">
        <f t="shared" si="9"/>
        <v>0.60000000000000009</v>
      </c>
      <c r="Q63" s="292">
        <f t="shared" si="7"/>
        <v>0</v>
      </c>
      <c r="R63" s="693">
        <f t="shared" ref="R63:R78" si="11">X63</f>
        <v>0</v>
      </c>
      <c r="S63" s="264">
        <f>ROUNDDOWN(Y63,1)</f>
        <v>3</v>
      </c>
      <c r="T63" s="505"/>
      <c r="U63" s="340">
        <f>U64*V64+U68*V68+U69*V69+U70*V70+U71*V71</f>
        <v>3.0000000000000009</v>
      </c>
      <c r="V63" s="640">
        <f>重み!D63</f>
        <v>0.60000000000000009</v>
      </c>
      <c r="W63" s="461"/>
      <c r="X63" s="343">
        <f>重み!E63</f>
        <v>0</v>
      </c>
      <c r="Y63" s="339">
        <f>IF(W63=0,U63,IF(U63=0,W63,U63*AA$6+W63*AC$6))</f>
        <v>3.0000000000000009</v>
      </c>
      <c r="Z63" s="505"/>
      <c r="AA63" s="459">
        <f>重み!M63</f>
        <v>0.6</v>
      </c>
      <c r="AC63" s="459">
        <f>重み!N63</f>
        <v>0</v>
      </c>
      <c r="AE63" s="1916"/>
      <c r="AF63" s="1916"/>
      <c r="AG63" s="1917"/>
    </row>
    <row r="64" spans="1:33" ht="14.25" thickBot="1">
      <c r="A64" s="50"/>
      <c r="B64" s="229"/>
      <c r="C64" s="212">
        <v>1.1000000000000001</v>
      </c>
      <c r="D64" s="214" t="s">
        <v>508</v>
      </c>
      <c r="E64" s="214"/>
      <c r="F64" s="228"/>
      <c r="G64" s="228"/>
      <c r="H64" s="1804"/>
      <c r="I64" s="1805"/>
      <c r="J64" s="1205"/>
      <c r="K64" s="1206"/>
      <c r="L64" s="1206"/>
      <c r="M64" s="1206"/>
      <c r="N64" s="1207"/>
      <c r="O64" s="262">
        <f t="shared" si="8"/>
        <v>3</v>
      </c>
      <c r="P64" s="279">
        <f t="shared" si="9"/>
        <v>0.30000000000000004</v>
      </c>
      <c r="Q64" s="262">
        <f t="shared" si="7"/>
        <v>0</v>
      </c>
      <c r="R64" s="279">
        <f t="shared" si="11"/>
        <v>0</v>
      </c>
      <c r="S64" s="266"/>
      <c r="T64" s="505"/>
      <c r="U64" s="340">
        <f>U65*V65+U66*V66+U67*V67</f>
        <v>3</v>
      </c>
      <c r="V64" s="640">
        <f>重み!D64</f>
        <v>0.30000000000000004</v>
      </c>
      <c r="W64" s="461"/>
      <c r="X64" s="343">
        <f>重み!E64</f>
        <v>0</v>
      </c>
      <c r="Y64" s="339"/>
      <c r="Z64" s="505"/>
      <c r="AA64" s="459">
        <f>重み!M64</f>
        <v>0.3</v>
      </c>
      <c r="AC64" s="459">
        <f>重み!N64</f>
        <v>0</v>
      </c>
      <c r="AE64" s="1916"/>
      <c r="AF64" s="1916"/>
      <c r="AG64" s="1917"/>
    </row>
    <row r="65" spans="1:33" ht="21">
      <c r="A65" s="50"/>
      <c r="B65" s="229"/>
      <c r="C65" s="221"/>
      <c r="D65" s="662">
        <v>1</v>
      </c>
      <c r="E65" s="214" t="s">
        <v>509</v>
      </c>
      <c r="F65" s="228"/>
      <c r="G65" s="228"/>
      <c r="H65" s="1850" t="s">
        <v>994</v>
      </c>
      <c r="I65" s="1851" t="s">
        <v>995</v>
      </c>
      <c r="J65" s="2337">
        <f>採点LR2!I24</f>
        <v>0</v>
      </c>
      <c r="K65" s="2339"/>
      <c r="L65" s="2339"/>
      <c r="M65" s="2339"/>
      <c r="N65" s="2350"/>
      <c r="O65" s="654">
        <f t="shared" si="8"/>
        <v>3</v>
      </c>
      <c r="P65" s="279">
        <f t="shared" si="9"/>
        <v>1</v>
      </c>
      <c r="Q65" s="654">
        <f t="shared" si="7"/>
        <v>0</v>
      </c>
      <c r="R65" s="279">
        <f t="shared" si="11"/>
        <v>0</v>
      </c>
      <c r="S65" s="264"/>
      <c r="T65" s="505"/>
      <c r="U65" s="462">
        <f>IF(採点LR2!D11="対象外",0,採点LR2!D11)</f>
        <v>3</v>
      </c>
      <c r="V65" s="640">
        <f>重み!D65</f>
        <v>1</v>
      </c>
      <c r="W65" s="461"/>
      <c r="X65" s="343">
        <f>重み!E65</f>
        <v>0</v>
      </c>
      <c r="Y65" s="482"/>
      <c r="Z65" s="505"/>
      <c r="AA65" s="459">
        <f>重み!M65</f>
        <v>1</v>
      </c>
      <c r="AC65" s="459">
        <f>重み!N65</f>
        <v>0</v>
      </c>
      <c r="AE65" s="1916" t="s">
        <v>1282</v>
      </c>
      <c r="AF65" s="1916">
        <f t="shared" ref="AF65:AF71" si="12">IF(AND(ISERROR(O65)=FALSE,ISERROR(P65)=FALSE),IF(AND(O65&gt;3,P65&gt;0),O65,0),0)</f>
        <v>0</v>
      </c>
      <c r="AG65" s="1917" t="str">
        <f t="shared" si="4"/>
        <v/>
      </c>
    </row>
    <row r="66" spans="1:33" ht="13.5">
      <c r="A66" s="50"/>
      <c r="B66" s="229"/>
      <c r="C66" s="221"/>
      <c r="D66" s="662">
        <v>2</v>
      </c>
      <c r="E66" s="214" t="s">
        <v>510</v>
      </c>
      <c r="F66" s="228"/>
      <c r="G66" s="228"/>
      <c r="H66" s="1821" t="s">
        <v>988</v>
      </c>
      <c r="I66" s="1822" t="s">
        <v>989</v>
      </c>
      <c r="J66" s="2337">
        <f>採点LR2!I41</f>
        <v>0</v>
      </c>
      <c r="K66" s="2338"/>
      <c r="L66" s="2338"/>
      <c r="M66" s="2338"/>
      <c r="N66" s="2339"/>
      <c r="O66" s="269">
        <f t="shared" si="8"/>
        <v>3</v>
      </c>
      <c r="P66" s="279">
        <f t="shared" si="9"/>
        <v>0</v>
      </c>
      <c r="Q66" s="269">
        <f t="shared" si="7"/>
        <v>0</v>
      </c>
      <c r="R66" s="279">
        <f t="shared" si="11"/>
        <v>0</v>
      </c>
      <c r="S66" s="264"/>
      <c r="T66" s="505"/>
      <c r="U66" s="462">
        <f>IF(採点LR2!D29="対象外",0,採点LR2!D29)</f>
        <v>3</v>
      </c>
      <c r="V66" s="640">
        <f>重み!D66</f>
        <v>0</v>
      </c>
      <c r="W66" s="461"/>
      <c r="X66" s="343">
        <f>重み!E66</f>
        <v>0</v>
      </c>
      <c r="Y66" s="482"/>
      <c r="Z66" s="505"/>
      <c r="AA66" s="459">
        <f>重み!M66</f>
        <v>0</v>
      </c>
      <c r="AC66" s="459">
        <f>重み!N66</f>
        <v>0</v>
      </c>
      <c r="AE66" s="1916" t="s">
        <v>1283</v>
      </c>
      <c r="AF66" s="1916">
        <f t="shared" si="12"/>
        <v>0</v>
      </c>
      <c r="AG66" s="1917" t="str">
        <f t="shared" si="4"/>
        <v/>
      </c>
    </row>
    <row r="67" spans="1:33" ht="13.5">
      <c r="A67" s="50"/>
      <c r="B67" s="229"/>
      <c r="C67" s="221"/>
      <c r="D67" s="673">
        <v>3</v>
      </c>
      <c r="E67" s="213" t="s">
        <v>511</v>
      </c>
      <c r="F67" s="227"/>
      <c r="G67" s="227"/>
      <c r="H67" s="1852" t="s">
        <v>988</v>
      </c>
      <c r="I67" s="1853" t="s">
        <v>989</v>
      </c>
      <c r="J67" s="2337">
        <f>採点LR2!I56</f>
        <v>0</v>
      </c>
      <c r="K67" s="2338"/>
      <c r="L67" s="2338"/>
      <c r="M67" s="2338"/>
      <c r="N67" s="2339"/>
      <c r="O67" s="269">
        <f t="shared" si="8"/>
        <v>3</v>
      </c>
      <c r="P67" s="279">
        <f t="shared" si="9"/>
        <v>0</v>
      </c>
      <c r="Q67" s="269">
        <f t="shared" si="7"/>
        <v>0</v>
      </c>
      <c r="R67" s="279">
        <f t="shared" si="11"/>
        <v>0</v>
      </c>
      <c r="S67" s="264"/>
      <c r="T67" s="505"/>
      <c r="U67" s="462">
        <f>IF(採点LR2!D44="対象外",0,採点LR2!D44)</f>
        <v>3</v>
      </c>
      <c r="V67" s="640">
        <f>重み!D67</f>
        <v>0</v>
      </c>
      <c r="W67" s="461"/>
      <c r="X67" s="343">
        <f>重み!E67</f>
        <v>0</v>
      </c>
      <c r="Y67" s="482"/>
      <c r="Z67" s="505"/>
      <c r="AA67" s="459">
        <f>重み!M67</f>
        <v>0</v>
      </c>
      <c r="AC67" s="459">
        <f>重み!N67</f>
        <v>0</v>
      </c>
      <c r="AE67" s="1916" t="s">
        <v>1284</v>
      </c>
      <c r="AF67" s="1916">
        <f t="shared" si="12"/>
        <v>0</v>
      </c>
      <c r="AG67" s="1917" t="str">
        <f t="shared" si="4"/>
        <v/>
      </c>
    </row>
    <row r="68" spans="1:33" ht="13.5">
      <c r="A68" s="50"/>
      <c r="B68" s="229"/>
      <c r="C68" s="484">
        <v>1.2</v>
      </c>
      <c r="D68" s="675" t="s">
        <v>512</v>
      </c>
      <c r="E68" s="214"/>
      <c r="F68" s="228"/>
      <c r="G68" s="228"/>
      <c r="H68" s="1806"/>
      <c r="I68" s="1803"/>
      <c r="J68" s="2337">
        <f>採点LR2!I73</f>
        <v>0</v>
      </c>
      <c r="K68" s="2338"/>
      <c r="L68" s="2338"/>
      <c r="M68" s="2338"/>
      <c r="N68" s="2339"/>
      <c r="O68" s="285">
        <f t="shared" si="8"/>
        <v>3</v>
      </c>
      <c r="P68" s="279">
        <f t="shared" si="9"/>
        <v>0.20000000000000004</v>
      </c>
      <c r="Q68" s="285">
        <f t="shared" si="7"/>
        <v>0</v>
      </c>
      <c r="R68" s="279">
        <f t="shared" si="11"/>
        <v>0</v>
      </c>
      <c r="S68" s="264"/>
      <c r="T68" s="505"/>
      <c r="U68" s="462">
        <f>IF(採点LR2!D60="対象外",0,採点LR2!D60)</f>
        <v>3</v>
      </c>
      <c r="V68" s="640">
        <f>重み!D68</f>
        <v>0.20000000000000004</v>
      </c>
      <c r="W68" s="461"/>
      <c r="X68" s="343">
        <f>重み!E68</f>
        <v>0</v>
      </c>
      <c r="Y68" s="339"/>
      <c r="Z68" s="505"/>
      <c r="AA68" s="459">
        <f>重み!M68</f>
        <v>0.2</v>
      </c>
      <c r="AC68" s="459">
        <f>重み!N68</f>
        <v>0</v>
      </c>
      <c r="AE68" s="1916" t="s">
        <v>1274</v>
      </c>
      <c r="AF68" s="1916">
        <f t="shared" si="12"/>
        <v>0</v>
      </c>
      <c r="AG68" s="1917" t="str">
        <f t="shared" si="4"/>
        <v/>
      </c>
    </row>
    <row r="69" spans="1:33" ht="21">
      <c r="A69" s="50"/>
      <c r="B69" s="229"/>
      <c r="C69" s="649">
        <v>1.3</v>
      </c>
      <c r="D69" s="214" t="s">
        <v>513</v>
      </c>
      <c r="E69" s="214"/>
      <c r="F69" s="228"/>
      <c r="G69" s="228"/>
      <c r="H69" s="1850" t="s">
        <v>994</v>
      </c>
      <c r="I69" s="1851" t="s">
        <v>995</v>
      </c>
      <c r="J69" s="2337">
        <f>採点LR2!I99</f>
        <v>0</v>
      </c>
      <c r="K69" s="2338"/>
      <c r="L69" s="2338"/>
      <c r="M69" s="2338"/>
      <c r="N69" s="2339"/>
      <c r="O69" s="285">
        <f t="shared" si="8"/>
        <v>3</v>
      </c>
      <c r="P69" s="279">
        <f t="shared" si="9"/>
        <v>0.20000000000000004</v>
      </c>
      <c r="Q69" s="285">
        <f t="shared" si="7"/>
        <v>0</v>
      </c>
      <c r="R69" s="279">
        <f t="shared" si="11"/>
        <v>0</v>
      </c>
      <c r="S69" s="264"/>
      <c r="T69" s="505"/>
      <c r="U69" s="462">
        <f>IF(採点LR2!D77="対象外",0,採点LR2!D77)</f>
        <v>3</v>
      </c>
      <c r="V69" s="640">
        <f>重み!D69</f>
        <v>0.20000000000000004</v>
      </c>
      <c r="W69" s="461"/>
      <c r="X69" s="343">
        <f>重み!E69</f>
        <v>0</v>
      </c>
      <c r="Y69" s="482"/>
      <c r="Z69" s="505"/>
      <c r="AA69" s="459">
        <f>重み!M69</f>
        <v>0.2</v>
      </c>
      <c r="AC69" s="459">
        <f>重み!N69</f>
        <v>0</v>
      </c>
      <c r="AE69" s="1916" t="s">
        <v>1275</v>
      </c>
      <c r="AF69" s="1916">
        <f t="shared" si="12"/>
        <v>0</v>
      </c>
      <c r="AG69" s="1917" t="str">
        <f t="shared" si="4"/>
        <v/>
      </c>
    </row>
    <row r="70" spans="1:33" ht="21">
      <c r="A70" s="50"/>
      <c r="B70" s="229"/>
      <c r="C70" s="649">
        <v>1.4</v>
      </c>
      <c r="D70" s="214" t="s">
        <v>514</v>
      </c>
      <c r="E70" s="214"/>
      <c r="F70" s="228"/>
      <c r="G70" s="228"/>
      <c r="H70" s="1850" t="s">
        <v>994</v>
      </c>
      <c r="I70" s="1854" t="s">
        <v>995</v>
      </c>
      <c r="J70" s="2337">
        <f>採点LR2!I130</f>
        <v>0</v>
      </c>
      <c r="K70" s="2338"/>
      <c r="L70" s="2338"/>
      <c r="M70" s="2338"/>
      <c r="N70" s="2339"/>
      <c r="O70" s="285">
        <f t="shared" si="8"/>
        <v>3</v>
      </c>
      <c r="P70" s="279">
        <f t="shared" si="9"/>
        <v>0.20000000000000004</v>
      </c>
      <c r="Q70" s="285">
        <f t="shared" si="7"/>
        <v>0</v>
      </c>
      <c r="R70" s="279">
        <f t="shared" si="11"/>
        <v>0</v>
      </c>
      <c r="S70" s="264"/>
      <c r="T70" s="505"/>
      <c r="U70" s="462">
        <f>IF(採点LR2!D107="対象外",0,採点LR2!D107)</f>
        <v>3</v>
      </c>
      <c r="V70" s="640">
        <f>重み!D70</f>
        <v>0.20000000000000004</v>
      </c>
      <c r="W70" s="461"/>
      <c r="X70" s="343">
        <f>重み!E70</f>
        <v>0</v>
      </c>
      <c r="Y70" s="482"/>
      <c r="Z70" s="505"/>
      <c r="AA70" s="459">
        <f>重み!M70</f>
        <v>0.2</v>
      </c>
      <c r="AC70" s="459">
        <f>重み!N70</f>
        <v>0</v>
      </c>
      <c r="AE70" s="1916" t="s">
        <v>1276</v>
      </c>
      <c r="AF70" s="1916">
        <f t="shared" si="12"/>
        <v>0</v>
      </c>
      <c r="AG70" s="1917" t="str">
        <f t="shared" si="4"/>
        <v/>
      </c>
    </row>
    <row r="71" spans="1:33" ht="21.75" thickBot="1">
      <c r="A71" s="50"/>
      <c r="B71" s="650"/>
      <c r="C71" s="649">
        <v>1.5</v>
      </c>
      <c r="D71" s="214" t="s">
        <v>515</v>
      </c>
      <c r="E71" s="214"/>
      <c r="F71" s="228"/>
      <c r="G71" s="228"/>
      <c r="H71" s="1850" t="s">
        <v>994</v>
      </c>
      <c r="I71" s="1855" t="s">
        <v>996</v>
      </c>
      <c r="J71" s="2337">
        <f>採点LR2!I150</f>
        <v>0</v>
      </c>
      <c r="K71" s="2338"/>
      <c r="L71" s="2338"/>
      <c r="M71" s="2338"/>
      <c r="N71" s="2339"/>
      <c r="O71" s="270">
        <f t="shared" si="8"/>
        <v>3</v>
      </c>
      <c r="P71" s="279">
        <f t="shared" si="9"/>
        <v>0.10000000000000002</v>
      </c>
      <c r="Q71" s="270">
        <f t="shared" si="7"/>
        <v>0</v>
      </c>
      <c r="R71" s="279">
        <f t="shared" si="11"/>
        <v>0</v>
      </c>
      <c r="S71" s="264"/>
      <c r="T71" s="505"/>
      <c r="U71" s="462">
        <f>IF(採点LR2!D136="対象外",0,採点LR2!D136)</f>
        <v>3</v>
      </c>
      <c r="V71" s="640">
        <f>重み!D71</f>
        <v>0.10000000000000002</v>
      </c>
      <c r="W71" s="461"/>
      <c r="X71" s="343">
        <f>重み!E71</f>
        <v>0</v>
      </c>
      <c r="Y71" s="482"/>
      <c r="Z71" s="505"/>
      <c r="AA71" s="459">
        <f>重み!M71</f>
        <v>0.1</v>
      </c>
      <c r="AC71" s="459">
        <f>重み!N71</f>
        <v>0</v>
      </c>
      <c r="AE71" s="1916" t="s">
        <v>1277</v>
      </c>
      <c r="AF71" s="1916">
        <f t="shared" si="12"/>
        <v>0</v>
      </c>
      <c r="AG71" s="1917" t="str">
        <f t="shared" si="4"/>
        <v/>
      </c>
    </row>
    <row r="72" spans="1:33" ht="14.25" thickBot="1">
      <c r="A72" s="50"/>
      <c r="B72" s="251">
        <v>2</v>
      </c>
      <c r="C72" s="234" t="s">
        <v>516</v>
      </c>
      <c r="D72" s="667"/>
      <c r="E72" s="667"/>
      <c r="F72" s="210"/>
      <c r="G72" s="210"/>
      <c r="H72" s="1809"/>
      <c r="I72" s="1810"/>
      <c r="J72" s="2196"/>
      <c r="K72" s="2197"/>
      <c r="L72" s="2197"/>
      <c r="M72" s="2197"/>
      <c r="N72" s="2198"/>
      <c r="O72" s="271">
        <f>ROUNDDOWN(U72,1)</f>
        <v>3</v>
      </c>
      <c r="P72" s="272">
        <f t="shared" si="9"/>
        <v>0.30000000000000004</v>
      </c>
      <c r="Q72" s="271">
        <f>ROUNDDOWN(W72,1)</f>
        <v>0</v>
      </c>
      <c r="R72" s="272">
        <f t="shared" si="11"/>
        <v>0</v>
      </c>
      <c r="S72" s="273">
        <f>ROUNDDOWN(Y72,1)</f>
        <v>3</v>
      </c>
      <c r="T72" s="505"/>
      <c r="U72" s="340">
        <f>U73*V73+U74*V74+U75*V75</f>
        <v>3</v>
      </c>
      <c r="V72" s="640">
        <f>重み!D72</f>
        <v>0.30000000000000004</v>
      </c>
      <c r="W72" s="461"/>
      <c r="X72" s="343">
        <f>重み!E72</f>
        <v>0</v>
      </c>
      <c r="Y72" s="339">
        <f>IF(W72=0,U72,IF(U72=0,W72,U72*AA$6+W72*AC$6))</f>
        <v>3</v>
      </c>
      <c r="Z72" s="505"/>
      <c r="AA72" s="459">
        <f>重み!M72</f>
        <v>0.3</v>
      </c>
      <c r="AC72" s="459">
        <f>重み!N72</f>
        <v>0</v>
      </c>
      <c r="AE72" s="1916"/>
      <c r="AF72" s="1916"/>
      <c r="AG72" s="1917"/>
    </row>
    <row r="73" spans="1:33" ht="13.5">
      <c r="A73" s="50"/>
      <c r="B73" s="229"/>
      <c r="C73" s="224">
        <v>2.1</v>
      </c>
      <c r="D73" s="226" t="s">
        <v>546</v>
      </c>
      <c r="E73" s="214"/>
      <c r="F73" s="228"/>
      <c r="G73" s="228"/>
      <c r="H73" s="1819" t="s">
        <v>988</v>
      </c>
      <c r="I73" s="1820" t="s">
        <v>986</v>
      </c>
      <c r="J73" s="2337">
        <f>採点LR2!I166</f>
        <v>0</v>
      </c>
      <c r="K73" s="2338"/>
      <c r="L73" s="2338"/>
      <c r="M73" s="2338"/>
      <c r="N73" s="2339"/>
      <c r="O73" s="688">
        <f t="shared" si="8"/>
        <v>3</v>
      </c>
      <c r="P73" s="279">
        <f t="shared" si="9"/>
        <v>0.33333333333333337</v>
      </c>
      <c r="Q73" s="688">
        <f t="shared" ref="Q73:Q86" si="13">ROUNDDOWN(W73,1)</f>
        <v>0</v>
      </c>
      <c r="R73" s="279">
        <f t="shared" si="11"/>
        <v>0</v>
      </c>
      <c r="S73" s="264"/>
      <c r="T73" s="505"/>
      <c r="U73" s="462">
        <f>IF(採点LR2!D159="対象外",0,採点LR2!D159)</f>
        <v>3</v>
      </c>
      <c r="V73" s="640">
        <f>重み!D73</f>
        <v>0.33333333333333337</v>
      </c>
      <c r="W73" s="461"/>
      <c r="X73" s="343">
        <f>重み!E73</f>
        <v>0</v>
      </c>
      <c r="Y73" s="339"/>
      <c r="Z73" s="505"/>
      <c r="AA73" s="459">
        <f>重み!M73</f>
        <v>0.33</v>
      </c>
      <c r="AC73" s="459">
        <f>重み!N73</f>
        <v>0</v>
      </c>
      <c r="AE73" s="1916" t="s">
        <v>1278</v>
      </c>
      <c r="AF73" s="1916">
        <f>IF(AND(ISERROR(O73)=FALSE,ISERROR(P73)=FALSE),IF(AND(O73&gt;3,P73&gt;0),O73,0),0)</f>
        <v>0</v>
      </c>
      <c r="AG73" s="1917" t="str">
        <f t="shared" ref="AG73:AG86" si="14">IF(J73=0,"",J73)</f>
        <v/>
      </c>
    </row>
    <row r="74" spans="1:33" ht="13.5">
      <c r="A74" s="50"/>
      <c r="B74" s="229"/>
      <c r="C74" s="221">
        <v>2.2000000000000002</v>
      </c>
      <c r="D74" s="668" t="s">
        <v>545</v>
      </c>
      <c r="E74" s="214"/>
      <c r="F74" s="228"/>
      <c r="G74" s="228"/>
      <c r="H74" s="1843" t="s">
        <v>988</v>
      </c>
      <c r="I74" s="1853" t="s">
        <v>986</v>
      </c>
      <c r="J74" s="2337">
        <f>採点LR2!I179</f>
        <v>0</v>
      </c>
      <c r="K74" s="2338"/>
      <c r="L74" s="2338"/>
      <c r="M74" s="2338"/>
      <c r="N74" s="2339"/>
      <c r="O74" s="285">
        <f t="shared" si="8"/>
        <v>3</v>
      </c>
      <c r="P74" s="279">
        <f t="shared" si="9"/>
        <v>0.33333333333333337</v>
      </c>
      <c r="Q74" s="285">
        <f t="shared" si="13"/>
        <v>0</v>
      </c>
      <c r="R74" s="279">
        <f t="shared" si="11"/>
        <v>0</v>
      </c>
      <c r="S74" s="264"/>
      <c r="T74" s="505"/>
      <c r="U74" s="462">
        <f>IF(採点LR2!D172="対象外",0,採点LR2!D172)</f>
        <v>3</v>
      </c>
      <c r="V74" s="640">
        <f>重み!D74</f>
        <v>0.33333333333333337</v>
      </c>
      <c r="W74" s="461"/>
      <c r="X74" s="343">
        <f>重み!E74</f>
        <v>0</v>
      </c>
      <c r="Y74" s="339"/>
      <c r="Z74" s="505"/>
      <c r="AA74" s="459">
        <f>重み!M74</f>
        <v>0.33</v>
      </c>
      <c r="AC74" s="459">
        <f>重み!N74</f>
        <v>0</v>
      </c>
      <c r="AE74" s="1916" t="s">
        <v>1279</v>
      </c>
      <c r="AF74" s="1916">
        <f>IF(AND(ISERROR(O74)=FALSE,ISERROR(P74)=FALSE),IF(AND(O74&gt;3,P74&gt;0),O74,0),0)</f>
        <v>0</v>
      </c>
      <c r="AG74" s="1917" t="str">
        <f t="shared" si="14"/>
        <v/>
      </c>
    </row>
    <row r="75" spans="1:33" ht="14.25" thickBot="1">
      <c r="A75" s="50"/>
      <c r="B75" s="650"/>
      <c r="C75" s="224">
        <v>2.2999999999999998</v>
      </c>
      <c r="D75" s="668" t="s">
        <v>517</v>
      </c>
      <c r="E75" s="214"/>
      <c r="F75" s="228"/>
      <c r="G75" s="228"/>
      <c r="H75" s="1806"/>
      <c r="I75" s="1803"/>
      <c r="J75" s="2337">
        <f>採点LR2!I192</f>
        <v>0</v>
      </c>
      <c r="K75" s="2351"/>
      <c r="L75" s="2351"/>
      <c r="M75" s="2351"/>
      <c r="N75" s="2352"/>
      <c r="O75" s="270">
        <f t="shared" si="8"/>
        <v>3</v>
      </c>
      <c r="P75" s="279">
        <f t="shared" si="9"/>
        <v>0.33333333333333337</v>
      </c>
      <c r="Q75" s="270">
        <f t="shared" si="13"/>
        <v>0</v>
      </c>
      <c r="R75" s="279">
        <f t="shared" si="11"/>
        <v>0</v>
      </c>
      <c r="S75" s="264"/>
      <c r="T75" s="505"/>
      <c r="U75" s="462">
        <f>IF(採点LR2!D185="対象外",0,採点LR2!D185)</f>
        <v>3</v>
      </c>
      <c r="V75" s="640">
        <f>重み!D75</f>
        <v>0.33333333333333337</v>
      </c>
      <c r="W75" s="461"/>
      <c r="X75" s="343">
        <f>重み!E75</f>
        <v>0</v>
      </c>
      <c r="Y75" s="339"/>
      <c r="Z75" s="505"/>
      <c r="AA75" s="459">
        <f>重み!M75</f>
        <v>0.33</v>
      </c>
      <c r="AC75" s="459">
        <f>重み!N75</f>
        <v>0</v>
      </c>
      <c r="AE75" s="1916" t="s">
        <v>1280</v>
      </c>
      <c r="AF75" s="1916">
        <f>IF(AND(ISERROR(O75)=FALSE,ISERROR(P75)=FALSE),IF(AND(O75&gt;3,P75&gt;0),O75,0),0)</f>
        <v>0</v>
      </c>
      <c r="AG75" s="1917" t="str">
        <f t="shared" si="14"/>
        <v/>
      </c>
    </row>
    <row r="76" spans="1:33" ht="14.25" thickBot="1">
      <c r="A76" s="50"/>
      <c r="B76" s="251">
        <v>3</v>
      </c>
      <c r="C76" s="234" t="s">
        <v>535</v>
      </c>
      <c r="D76" s="660"/>
      <c r="E76" s="217"/>
      <c r="F76" s="230"/>
      <c r="G76" s="230"/>
      <c r="H76" s="1809"/>
      <c r="I76" s="1810"/>
      <c r="J76" s="2196"/>
      <c r="K76" s="2197"/>
      <c r="L76" s="2197"/>
      <c r="M76" s="2197"/>
      <c r="N76" s="2198"/>
      <c r="O76" s="262">
        <f t="shared" si="8"/>
        <v>3</v>
      </c>
      <c r="P76" s="272">
        <f t="shared" si="9"/>
        <v>0.10000000000000002</v>
      </c>
      <c r="Q76" s="262">
        <f t="shared" si="13"/>
        <v>0</v>
      </c>
      <c r="R76" s="272">
        <f t="shared" si="11"/>
        <v>0</v>
      </c>
      <c r="S76" s="273">
        <f t="shared" ref="S76:S84" si="15">ROUNDDOWN(Y76,1)</f>
        <v>3</v>
      </c>
      <c r="T76" s="505"/>
      <c r="U76" s="340">
        <f>U77*V77+U78*V78</f>
        <v>3</v>
      </c>
      <c r="V76" s="640">
        <f>重み!D76</f>
        <v>0.10000000000000002</v>
      </c>
      <c r="W76" s="461"/>
      <c r="X76" s="343">
        <f>重み!E76</f>
        <v>0</v>
      </c>
      <c r="Y76" s="482">
        <f>IF(W76=0,U76,IF(U76=0,W76,U76*AA$6+W76*AC$6))</f>
        <v>3</v>
      </c>
      <c r="Z76" s="505"/>
      <c r="AA76" s="459">
        <f>重み!M76</f>
        <v>0.1</v>
      </c>
      <c r="AC76" s="459">
        <f>重み!N76</f>
        <v>0</v>
      </c>
      <c r="AE76" s="1916"/>
      <c r="AF76" s="1916"/>
      <c r="AG76" s="1917"/>
    </row>
    <row r="77" spans="1:33" ht="14.25" thickBot="1">
      <c r="A77" s="50"/>
      <c r="B77" s="229"/>
      <c r="C77" s="649">
        <v>3.1</v>
      </c>
      <c r="D77" s="676" t="s">
        <v>518</v>
      </c>
      <c r="E77" s="214"/>
      <c r="F77" s="228"/>
      <c r="G77" s="228"/>
      <c r="H77" s="1807" t="s">
        <v>988</v>
      </c>
      <c r="I77" s="1840" t="s">
        <v>989</v>
      </c>
      <c r="J77" s="2337">
        <f>採点LR2!I204</f>
        <v>0</v>
      </c>
      <c r="K77" s="2338"/>
      <c r="L77" s="2338"/>
      <c r="M77" s="2338"/>
      <c r="N77" s="2339"/>
      <c r="O77" s="688">
        <f t="shared" si="8"/>
        <v>3</v>
      </c>
      <c r="P77" s="279">
        <f>V77</f>
        <v>1</v>
      </c>
      <c r="Q77" s="688">
        <f t="shared" si="13"/>
        <v>0</v>
      </c>
      <c r="R77" s="279">
        <f t="shared" si="11"/>
        <v>0</v>
      </c>
      <c r="S77" s="264"/>
      <c r="T77" s="505"/>
      <c r="U77" s="462">
        <f>IF(採点LR2!D197="対象外",0,採点LR2!D197)</f>
        <v>3</v>
      </c>
      <c r="V77" s="640">
        <f>重み!D77</f>
        <v>1</v>
      </c>
      <c r="W77" s="461"/>
      <c r="X77" s="343">
        <f>重み!E77</f>
        <v>0</v>
      </c>
      <c r="Y77" s="482"/>
      <c r="Z77" s="505"/>
      <c r="AA77" s="459">
        <f>重み!M77</f>
        <v>1</v>
      </c>
      <c r="AC77" s="459">
        <f>重み!N77</f>
        <v>0</v>
      </c>
      <c r="AE77" s="1916" t="s">
        <v>1281</v>
      </c>
      <c r="AF77" s="1916">
        <f>IF(AND(ISERROR(O77)=FALSE,ISERROR(P77)=FALSE),IF(AND(O77&gt;3,P77&gt;0),O77,0),0)</f>
        <v>0</v>
      </c>
      <c r="AG77" s="1917" t="str">
        <f t="shared" si="14"/>
        <v/>
      </c>
    </row>
    <row r="78" spans="1:33" ht="14.25" hidden="1" thickBot="1">
      <c r="A78" s="50"/>
      <c r="B78" s="229"/>
      <c r="C78" s="649">
        <v>3.2</v>
      </c>
      <c r="D78" s="677"/>
      <c r="E78" s="214"/>
      <c r="F78" s="228"/>
      <c r="G78" s="228"/>
      <c r="H78" s="1806"/>
      <c r="I78" s="1803"/>
      <c r="J78" s="2337"/>
      <c r="K78" s="2338"/>
      <c r="L78" s="2338"/>
      <c r="M78" s="2338"/>
      <c r="N78" s="2339"/>
      <c r="O78" s="285">
        <f t="shared" si="8"/>
        <v>0</v>
      </c>
      <c r="P78" s="279">
        <f t="shared" si="9"/>
        <v>0</v>
      </c>
      <c r="Q78" s="285">
        <f t="shared" si="13"/>
        <v>0</v>
      </c>
      <c r="R78" s="279">
        <f t="shared" si="11"/>
        <v>0</v>
      </c>
      <c r="S78" s="264">
        <f t="shared" si="15"/>
        <v>0</v>
      </c>
      <c r="T78" s="505"/>
      <c r="U78" s="462"/>
      <c r="V78" s="640">
        <f>重み!D78</f>
        <v>0</v>
      </c>
      <c r="W78" s="461"/>
      <c r="X78" s="343">
        <f>重み!E78</f>
        <v>0</v>
      </c>
      <c r="Y78" s="482"/>
      <c r="Z78" s="505"/>
      <c r="AA78" s="459">
        <f>重み!M78</f>
        <v>0</v>
      </c>
      <c r="AC78" s="459">
        <f>重み!N78</f>
        <v>0</v>
      </c>
      <c r="AE78" s="1916"/>
      <c r="AF78" s="1916"/>
      <c r="AG78" s="1917" t="str">
        <f t="shared" si="14"/>
        <v/>
      </c>
    </row>
    <row r="79" spans="1:33" ht="17.25" thickBot="1">
      <c r="A79" s="50"/>
      <c r="B79" s="231" t="s">
        <v>686</v>
      </c>
      <c r="C79" s="236" t="s">
        <v>215</v>
      </c>
      <c r="D79" s="669"/>
      <c r="E79" s="669"/>
      <c r="F79" s="237"/>
      <c r="G79" s="237"/>
      <c r="H79" s="1848"/>
      <c r="I79" s="1849"/>
      <c r="J79" s="2199"/>
      <c r="K79" s="2200"/>
      <c r="L79" s="2200"/>
      <c r="M79" s="2200"/>
      <c r="N79" s="2201"/>
      <c r="O79" s="378">
        <f>ROUNDDOWN(U79,1)</f>
        <v>0</v>
      </c>
      <c r="P79" s="276" t="e">
        <f>V79</f>
        <v>#VALUE!</v>
      </c>
      <c r="Q79" s="379">
        <f t="shared" si="13"/>
        <v>0</v>
      </c>
      <c r="R79" s="276">
        <f>X79</f>
        <v>0</v>
      </c>
      <c r="S79" s="277" t="e">
        <f t="shared" si="15"/>
        <v>#VALUE!</v>
      </c>
      <c r="T79" s="505"/>
      <c r="U79" s="463"/>
      <c r="V79" s="639" t="e">
        <f>重み!D79</f>
        <v>#VALUE!</v>
      </c>
      <c r="W79" s="461"/>
      <c r="X79" s="343">
        <f>重み!E79</f>
        <v>0</v>
      </c>
      <c r="Y79" s="339" t="e">
        <f>Y80*V80+Y84*V84+Y81*V81</f>
        <v>#VALUE!</v>
      </c>
      <c r="Z79" s="505"/>
      <c r="AA79" s="459">
        <f>重み!M79</f>
        <v>0.3</v>
      </c>
      <c r="AC79" s="459">
        <f>重み!N79</f>
        <v>0</v>
      </c>
      <c r="AE79" s="1916"/>
      <c r="AF79" s="1916"/>
      <c r="AG79" s="1917"/>
    </row>
    <row r="80" spans="1:33" ht="14.25" thickBot="1">
      <c r="A80" s="50"/>
      <c r="B80" s="480">
        <v>1</v>
      </c>
      <c r="C80" s="225" t="s">
        <v>250</v>
      </c>
      <c r="D80" s="670"/>
      <c r="E80" s="670"/>
      <c r="F80" s="230"/>
      <c r="G80" s="230"/>
      <c r="H80" s="1811"/>
      <c r="I80" s="1812"/>
      <c r="J80" s="2342"/>
      <c r="K80" s="2343"/>
      <c r="L80" s="2343"/>
      <c r="M80" s="2343"/>
      <c r="N80" s="2343"/>
      <c r="O80" s="283" t="e">
        <f t="shared" si="8"/>
        <v>#VALUE!</v>
      </c>
      <c r="P80" s="693" t="e">
        <f t="shared" si="9"/>
        <v>#VALUE!</v>
      </c>
      <c r="Q80" s="692"/>
      <c r="R80" s="281"/>
      <c r="S80" s="264" t="e">
        <f t="shared" si="15"/>
        <v>#VALUE!</v>
      </c>
      <c r="T80" s="505"/>
      <c r="U80" s="462" t="e">
        <f>IF(採点LR3!D8="対象外",0,採点LR3!D8)</f>
        <v>#VALUE!</v>
      </c>
      <c r="V80" s="640" t="e">
        <f>重み!D80</f>
        <v>#VALUE!</v>
      </c>
      <c r="W80" s="461"/>
      <c r="X80" s="343">
        <f>重み!E80</f>
        <v>0</v>
      </c>
      <c r="Y80" s="339" t="e">
        <f>IF(W80=0,U80,IF(U80=0,W80,U80*AA$6+W80*AC$6))</f>
        <v>#VALUE!</v>
      </c>
      <c r="Z80" s="505"/>
      <c r="AA80" s="459">
        <f>重み!M80</f>
        <v>0.33333333333333331</v>
      </c>
      <c r="AC80" s="459">
        <f>重み!N80</f>
        <v>0</v>
      </c>
      <c r="AE80" s="1916" t="s">
        <v>1285</v>
      </c>
      <c r="AF80" s="1916">
        <f>IF(AND(ISERROR(O80)=FALSE,ISERROR(P80)=FALSE),IF(AND(O80&gt;3,P80&gt;0),O80,0),0)</f>
        <v>0</v>
      </c>
      <c r="AG80" s="1917" t="str">
        <f t="shared" si="14"/>
        <v/>
      </c>
    </row>
    <row r="81" spans="1:33" ht="14.25" thickBot="1">
      <c r="A81" s="50"/>
      <c r="B81" s="480">
        <v>2</v>
      </c>
      <c r="C81" s="225" t="s">
        <v>277</v>
      </c>
      <c r="D81" s="670"/>
      <c r="E81" s="670"/>
      <c r="F81" s="230"/>
      <c r="G81" s="230"/>
      <c r="H81" s="1811"/>
      <c r="I81" s="1812"/>
      <c r="J81" s="2196"/>
      <c r="K81" s="2197"/>
      <c r="L81" s="2197"/>
      <c r="M81" s="2197"/>
      <c r="N81" s="2198"/>
      <c r="O81" s="262">
        <f>ROUNDDOWN(U81,1)</f>
        <v>3</v>
      </c>
      <c r="P81" s="279" t="e">
        <f>V81</f>
        <v>#VALUE!</v>
      </c>
      <c r="Q81" s="692"/>
      <c r="R81" s="281"/>
      <c r="S81" s="273">
        <f>ROUNDDOWN(Y81,1)</f>
        <v>3</v>
      </c>
      <c r="T81" s="505"/>
      <c r="U81" s="340">
        <f>U82*V82+U83*V83</f>
        <v>3</v>
      </c>
      <c r="V81" s="640" t="e">
        <f>重み!D82</f>
        <v>#VALUE!</v>
      </c>
      <c r="W81" s="461"/>
      <c r="X81" s="343"/>
      <c r="Y81" s="339">
        <f>IF(W81=0,U81,IF(U81=0,W81,U81*AA$6+W81*AC$6))</f>
        <v>3</v>
      </c>
      <c r="Z81" s="505"/>
      <c r="AA81" s="459">
        <f>重み!M82</f>
        <v>0.33333333333333331</v>
      </c>
      <c r="AC81" s="459">
        <f>重み!N82</f>
        <v>0</v>
      </c>
      <c r="AE81" s="1916"/>
      <c r="AF81" s="1916"/>
      <c r="AG81" s="1917"/>
    </row>
    <row r="82" spans="1:33" ht="13.5">
      <c r="A82" s="50"/>
      <c r="B82" s="906"/>
      <c r="C82" s="649">
        <v>2.1</v>
      </c>
      <c r="D82" s="668" t="s">
        <v>687</v>
      </c>
      <c r="E82" s="670"/>
      <c r="F82" s="230"/>
      <c r="G82" s="230"/>
      <c r="H82" s="1806"/>
      <c r="I82" s="1803"/>
      <c r="J82" s="2344">
        <f>採点LR3!I38</f>
        <v>0</v>
      </c>
      <c r="K82" s="2345"/>
      <c r="L82" s="2345"/>
      <c r="M82" s="2345"/>
      <c r="N82" s="2346"/>
      <c r="O82" s="909">
        <f>ROUNDDOWN(U82,1)</f>
        <v>3</v>
      </c>
      <c r="P82" s="284">
        <f>V82</f>
        <v>0.5</v>
      </c>
      <c r="Q82" s="910">
        <f>ROUNDDOWN(W82,1)</f>
        <v>0</v>
      </c>
      <c r="R82" s="284">
        <f>X82</f>
        <v>0</v>
      </c>
      <c r="S82" s="266"/>
      <c r="T82" s="505"/>
      <c r="U82" s="462">
        <f>IF(採点LR3!D22="対象外",0,採点LR3!D22)</f>
        <v>3</v>
      </c>
      <c r="V82" s="641">
        <f>重み!D83</f>
        <v>0.5</v>
      </c>
      <c r="W82" s="461"/>
      <c r="X82" s="343">
        <f>重み!E83</f>
        <v>0</v>
      </c>
      <c r="Y82" s="908"/>
      <c r="Z82" s="505"/>
      <c r="AA82" s="459">
        <f>重み!M83</f>
        <v>0.5</v>
      </c>
      <c r="AC82" s="459">
        <f>重み!N83</f>
        <v>0</v>
      </c>
      <c r="AE82" s="1916" t="s">
        <v>1286</v>
      </c>
      <c r="AF82" s="1916">
        <f>IF(AND(ISERROR(O82)=FALSE,ISERROR(P82)=FALSE),IF(AND(O82&gt;3,P82&gt;0),O82,0),0)</f>
        <v>0</v>
      </c>
      <c r="AG82" s="1917" t="str">
        <f t="shared" si="14"/>
        <v/>
      </c>
    </row>
    <row r="83" spans="1:33" ht="14.25" thickBot="1">
      <c r="A83" s="50"/>
      <c r="B83" s="963"/>
      <c r="C83" s="242">
        <v>2.2000000000000002</v>
      </c>
      <c r="D83" s="668" t="s">
        <v>688</v>
      </c>
      <c r="E83" s="668"/>
      <c r="F83" s="228"/>
      <c r="G83" s="228"/>
      <c r="H83" s="1833" t="s">
        <v>997</v>
      </c>
      <c r="I83" s="1834"/>
      <c r="J83" s="2347">
        <f>採点LR3!I58</f>
        <v>0</v>
      </c>
      <c r="K83" s="2348"/>
      <c r="L83" s="2348"/>
      <c r="M83" s="2348"/>
      <c r="N83" s="2349"/>
      <c r="O83" s="270">
        <f>ROUNDDOWN(U83,1)</f>
        <v>3</v>
      </c>
      <c r="P83" s="911">
        <f>V83</f>
        <v>0.5</v>
      </c>
      <c r="Q83" s="689">
        <f>ROUNDDOWN(W83,1)</f>
        <v>0</v>
      </c>
      <c r="R83" s="911">
        <f>X83</f>
        <v>0</v>
      </c>
      <c r="S83" s="278"/>
      <c r="T83" s="505"/>
      <c r="U83" s="462">
        <f>IF(採点LR3!D42="対象外",0,採点LR3!D42)</f>
        <v>3</v>
      </c>
      <c r="V83" s="641">
        <f>重み!D84</f>
        <v>0.5</v>
      </c>
      <c r="W83" s="463"/>
      <c r="X83" s="343">
        <f>重み!E84</f>
        <v>0</v>
      </c>
      <c r="Y83" s="908"/>
      <c r="Z83" s="505"/>
      <c r="AA83" s="459">
        <f>重み!M84</f>
        <v>0.5</v>
      </c>
      <c r="AC83" s="459">
        <f>重み!N84</f>
        <v>0</v>
      </c>
      <c r="AE83" s="1916" t="s">
        <v>1287</v>
      </c>
      <c r="AF83" s="1916">
        <f>IF(AND(ISERROR(O83)=FALSE,ISERROR(P83)=FALSE),IF(AND(O83&gt;3,P83&gt;0),O83,0),0)</f>
        <v>0</v>
      </c>
      <c r="AG83" s="1917" t="str">
        <f t="shared" si="14"/>
        <v/>
      </c>
    </row>
    <row r="84" spans="1:33" ht="14.25" thickBot="1">
      <c r="A84" s="50"/>
      <c r="B84" s="904">
        <v>3</v>
      </c>
      <c r="C84" s="241" t="s">
        <v>680</v>
      </c>
      <c r="D84" s="670"/>
      <c r="E84" s="670"/>
      <c r="F84" s="230"/>
      <c r="G84" s="230"/>
      <c r="H84" s="1811"/>
      <c r="I84" s="1812"/>
      <c r="J84" s="2202"/>
      <c r="K84" s="2203"/>
      <c r="L84" s="2203"/>
      <c r="M84" s="2203"/>
      <c r="N84" s="2215"/>
      <c r="O84" s="271">
        <f>ROUNDDOWN(U84,1)</f>
        <v>3</v>
      </c>
      <c r="P84" s="962" t="e">
        <f t="shared" si="9"/>
        <v>#VALUE!</v>
      </c>
      <c r="Q84" s="689"/>
      <c r="R84" s="911"/>
      <c r="S84" s="278">
        <f t="shared" si="15"/>
        <v>3</v>
      </c>
      <c r="T84" s="505"/>
      <c r="U84" s="340">
        <f>U85*V85+U86*V86</f>
        <v>3</v>
      </c>
      <c r="V84" s="640" t="e">
        <f>重み!D85</f>
        <v>#VALUE!</v>
      </c>
      <c r="W84" s="461"/>
      <c r="X84" s="343">
        <f>重み!E85</f>
        <v>0</v>
      </c>
      <c r="Y84" s="339">
        <f>IF(W84=0,U84,IF(U84=0,W84,U84*AA$6+W84*AC$6))</f>
        <v>3</v>
      </c>
      <c r="Z84" s="505"/>
      <c r="AA84" s="459">
        <f>重み!M85</f>
        <v>0.33333333333333331</v>
      </c>
      <c r="AC84" s="459">
        <f>重み!N85</f>
        <v>0</v>
      </c>
      <c r="AE84" s="1916"/>
      <c r="AF84" s="1916"/>
      <c r="AG84" s="1917"/>
    </row>
    <row r="85" spans="1:33" ht="13.5">
      <c r="A85" s="50"/>
      <c r="B85" s="905"/>
      <c r="C85" s="224">
        <v>3.1</v>
      </c>
      <c r="D85" s="670" t="s">
        <v>714</v>
      </c>
      <c r="E85" s="670"/>
      <c r="F85" s="230"/>
      <c r="G85" s="230"/>
      <c r="H85" s="1819" t="s">
        <v>998</v>
      </c>
      <c r="I85" s="1856" t="s">
        <v>989</v>
      </c>
      <c r="J85" s="2344">
        <f>採点LR3!I75</f>
        <v>0</v>
      </c>
      <c r="K85" s="2345"/>
      <c r="L85" s="2345"/>
      <c r="M85" s="2345"/>
      <c r="N85" s="2346"/>
      <c r="O85" s="688">
        <f t="shared" si="8"/>
        <v>3</v>
      </c>
      <c r="P85" s="279">
        <f t="shared" si="9"/>
        <v>0.5</v>
      </c>
      <c r="Q85" s="688">
        <f t="shared" si="13"/>
        <v>0</v>
      </c>
      <c r="R85" s="279">
        <f>X85</f>
        <v>0</v>
      </c>
      <c r="S85" s="264"/>
      <c r="T85" s="505"/>
      <c r="U85" s="462">
        <f>IF(採点LR3!D63="対象外",0,採点LR3!D63)</f>
        <v>3</v>
      </c>
      <c r="V85" s="641">
        <f>重み!D86</f>
        <v>0.5</v>
      </c>
      <c r="W85" s="461"/>
      <c r="X85" s="343">
        <f>重み!E86</f>
        <v>0</v>
      </c>
      <c r="Y85" s="908"/>
      <c r="Z85" s="505"/>
      <c r="AA85" s="459">
        <f>重み!M86</f>
        <v>0.5</v>
      </c>
      <c r="AC85" s="459">
        <f>重み!N86</f>
        <v>0</v>
      </c>
      <c r="AE85" s="1916" t="s">
        <v>1288</v>
      </c>
      <c r="AF85" s="1916">
        <f>IF(AND(ISERROR(O85)=FALSE,ISERROR(P85)=FALSE),IF(AND(O85&gt;3,P85&gt;0),O85,0),0)</f>
        <v>0</v>
      </c>
      <c r="AG85" s="1917" t="str">
        <f t="shared" si="14"/>
        <v/>
      </c>
    </row>
    <row r="86" spans="1:33" ht="14.25" thickBot="1">
      <c r="A86" s="50"/>
      <c r="B86" s="907"/>
      <c r="C86" s="255">
        <v>3.2</v>
      </c>
      <c r="D86" s="674" t="s">
        <v>68</v>
      </c>
      <c r="E86" s="674"/>
      <c r="F86" s="256"/>
      <c r="G86" s="256"/>
      <c r="H86" s="1857" t="s">
        <v>998</v>
      </c>
      <c r="I86" s="1858" t="s">
        <v>987</v>
      </c>
      <c r="J86" s="2340">
        <f>採点LR3!I96</f>
        <v>0</v>
      </c>
      <c r="K86" s="2341"/>
      <c r="L86" s="2341"/>
      <c r="M86" s="2341"/>
      <c r="N86" s="2341"/>
      <c r="O86" s="270">
        <f t="shared" si="8"/>
        <v>3</v>
      </c>
      <c r="P86" s="699">
        <f t="shared" si="9"/>
        <v>0.5</v>
      </c>
      <c r="Q86" s="270">
        <f t="shared" si="13"/>
        <v>0</v>
      </c>
      <c r="R86" s="699">
        <f>X86</f>
        <v>0</v>
      </c>
      <c r="S86" s="275"/>
      <c r="T86" s="505"/>
      <c r="U86" s="462">
        <f>IF(採点LR3!D79="対象外",0,採点LR3!D79)</f>
        <v>3</v>
      </c>
      <c r="V86" s="641">
        <f>重み!D87</f>
        <v>0.5</v>
      </c>
      <c r="W86" s="461"/>
      <c r="X86" s="343">
        <f>重み!E87</f>
        <v>0</v>
      </c>
      <c r="Y86" s="908"/>
      <c r="Z86" s="505"/>
      <c r="AA86" s="459">
        <f>重み!M87</f>
        <v>0.5</v>
      </c>
      <c r="AC86" s="459">
        <f>重み!N87</f>
        <v>0</v>
      </c>
      <c r="AE86" s="1916" t="s">
        <v>1289</v>
      </c>
      <c r="AF86" s="1916">
        <f>IF(AND(ISERROR(O86)=FALSE,ISERROR(P86)=FALSE),IF(AND(O86&gt;3,P86&gt;0),O86,0),0)</f>
        <v>0</v>
      </c>
      <c r="AG86" s="1917" t="str">
        <f t="shared" si="14"/>
        <v/>
      </c>
    </row>
    <row r="87" spans="1:33" ht="15.75" customHeight="1">
      <c r="A87" s="50"/>
      <c r="B87" s="257"/>
      <c r="C87" s="258"/>
      <c r="D87" s="259"/>
      <c r="E87" s="260"/>
      <c r="F87" s="243"/>
      <c r="G87" s="291"/>
      <c r="H87" s="1859" t="s">
        <v>999</v>
      </c>
      <c r="I87" s="291"/>
      <c r="J87" s="286"/>
      <c r="K87" s="286"/>
      <c r="L87" s="286"/>
      <c r="M87" s="286"/>
      <c r="N87" s="286"/>
      <c r="O87" s="286"/>
      <c r="P87" s="287"/>
      <c r="Q87" s="288"/>
      <c r="R87" s="289"/>
      <c r="S87" s="290"/>
      <c r="T87" s="505"/>
      <c r="U87" s="464"/>
      <c r="V87" s="261"/>
      <c r="W87" s="464"/>
      <c r="X87" s="261"/>
      <c r="Y87" s="261"/>
      <c r="Z87" s="505"/>
    </row>
    <row r="88" spans="1:33" ht="12.6" customHeight="1">
      <c r="H88" s="1859" t="s">
        <v>1000</v>
      </c>
    </row>
    <row r="89" spans="1:33" ht="12.6" customHeight="1"/>
    <row r="90" spans="1:33" ht="12.6" customHeight="1"/>
    <row r="91" spans="1:33" ht="12.6" customHeight="1"/>
    <row r="92" spans="1:33" ht="12.6" customHeight="1"/>
    <row r="93" spans="1:33" ht="12.6" customHeight="1"/>
    <row r="94" spans="1:33" ht="12.6" customHeight="1"/>
    <row r="95" spans="1:33" ht="12.6" customHeight="1"/>
    <row r="96" spans="1:33"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password="CC47" sheet="1" objects="1" scenarios="1"/>
  <mergeCells count="55">
    <mergeCell ref="B3:F3"/>
    <mergeCell ref="J24:N24"/>
    <mergeCell ref="M2:N2"/>
    <mergeCell ref="M3:N3"/>
    <mergeCell ref="J37:N37"/>
    <mergeCell ref="J22:N22"/>
    <mergeCell ref="J23:N23"/>
    <mergeCell ref="J33:N33"/>
    <mergeCell ref="J34:N34"/>
    <mergeCell ref="J26:N26"/>
    <mergeCell ref="J28:N28"/>
    <mergeCell ref="J36:N36"/>
    <mergeCell ref="E5:F5"/>
    <mergeCell ref="J12:N12"/>
    <mergeCell ref="J13:N13"/>
    <mergeCell ref="J16:N16"/>
    <mergeCell ref="J50:N50"/>
    <mergeCell ref="J54:N54"/>
    <mergeCell ref="J39:N39"/>
    <mergeCell ref="J40:N40"/>
    <mergeCell ref="J42:N42"/>
    <mergeCell ref="J43:N43"/>
    <mergeCell ref="J45:N45"/>
    <mergeCell ref="J47:N47"/>
    <mergeCell ref="J49:N49"/>
    <mergeCell ref="J48:N48"/>
    <mergeCell ref="J15:N15"/>
    <mergeCell ref="J18:N18"/>
    <mergeCell ref="J19:N19"/>
    <mergeCell ref="J31:N31"/>
    <mergeCell ref="J32:N32"/>
    <mergeCell ref="J21:N21"/>
    <mergeCell ref="J27:N27"/>
    <mergeCell ref="J65:N65"/>
    <mergeCell ref="J66:N66"/>
    <mergeCell ref="J75:N75"/>
    <mergeCell ref="J73:N73"/>
    <mergeCell ref="J70:N70"/>
    <mergeCell ref="J69:N69"/>
    <mergeCell ref="J67:N67"/>
    <mergeCell ref="J71:N71"/>
    <mergeCell ref="J68:N68"/>
    <mergeCell ref="J74:N74"/>
    <mergeCell ref="J55:N55"/>
    <mergeCell ref="J57:N57"/>
    <mergeCell ref="J58:N58"/>
    <mergeCell ref="J60:N60"/>
    <mergeCell ref="J61:N61"/>
    <mergeCell ref="J78:N78"/>
    <mergeCell ref="J77:N77"/>
    <mergeCell ref="J86:N86"/>
    <mergeCell ref="J80:N80"/>
    <mergeCell ref="J82:N82"/>
    <mergeCell ref="J83:N83"/>
    <mergeCell ref="J85:N85"/>
  </mergeCells>
  <phoneticPr fontId="4"/>
  <conditionalFormatting sqref="O30:O43 O45:O50 O63:O78 Q30:Q43 Q11:Q23 Q45:Q50 Q63:Q78 O80:O86 Q80:Q86 Q53:Q61 O53:O61 Q25:Q28 O25:O28 O11:O23">
    <cfRule type="expression" dxfId="153" priority="6" stopIfTrue="1">
      <formula>AND(AA11&gt;0,O11="")</formula>
    </cfRule>
    <cfRule type="expression" dxfId="152" priority="7" stopIfTrue="1">
      <formula>(AA11=0)</formula>
    </cfRule>
  </conditionalFormatting>
  <conditionalFormatting sqref="O10 Q10">
    <cfRule type="expression" dxfId="151" priority="8" stopIfTrue="1">
      <formula>AND(AA10&gt;0,O10="")</formula>
    </cfRule>
    <cfRule type="expression" dxfId="150" priority="9" stopIfTrue="1">
      <formula>AND(AA10=0)</formula>
    </cfRule>
  </conditionalFormatting>
  <conditionalFormatting sqref="Q24">
    <cfRule type="expression" dxfId="149" priority="4" stopIfTrue="1">
      <formula>AND(AC24&gt;0,Q24="")</formula>
    </cfRule>
    <cfRule type="expression" dxfId="148" priority="5" stopIfTrue="1">
      <formula>(AC24=0)</formula>
    </cfRule>
  </conditionalFormatting>
  <conditionalFormatting sqref="O24">
    <cfRule type="expression" dxfId="147" priority="2" stopIfTrue="1">
      <formula>AND(AA24&gt;0,O24="")</formula>
    </cfRule>
    <cfRule type="expression" dxfId="146" priority="3" stopIfTrue="1">
      <formula>(AA24=0)</formula>
    </cfRule>
  </conditionalFormatting>
  <conditionalFormatting sqref="J12:N13 J15:N16 J18 J21:N24 J26:N28 J31:N34 J36:N37 J39:N40 J42:N43 J47:N50 J54:N55 J57:N58 J60:N61 J65:N71 J73:N75 J77 J82:N83 J85:N86 J80 J45">
    <cfRule type="expression" dxfId="145" priority="1" stopIfTrue="1">
      <formula>AND(O12&gt;3,P12&gt;0)</formula>
    </cfRule>
  </conditionalFormatting>
  <dataValidations xWindow="895" yWindow="482" count="2">
    <dataValidation allowBlank="1" showErrorMessage="1" sqref="U76:V76 U56:V56 U59:V59 U41:V41 V39:V40 U72:V72 U53 U46 U63:U64 U38:V38 U33:U35 V18:V19 U10:U11 U30:V30 U25 V21:V29 U17:V17 U20:V20 U14:V14 V10:V13 V15:V16 V31:V37 V57:V58 V60:V71 V73:V75 U84:V84 V85:V86 V77:V80 V82:V83 U81:V81 V42:V55 O10:R86"/>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S44 S62 S51:S52 S29 S79">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56" fitToHeight="0" orientation="portrait" verticalDpi="4294967293" r:id="rId1"/>
  <headerFooter alignWithMargins="0">
    <oddHeader>&amp;L&amp;F&amp;R&amp;A</oddHeader>
    <oddFooter>&amp;C&amp;P/&amp;N</oddFooter>
  </headerFooter>
  <rowBreaks count="1" manualBreakCount="1">
    <brk id="50" max="16" man="1"/>
  </rowBreaks>
</worksheet>
</file>

<file path=xl/worksheets/sheet4.xml><?xml version="1.0" encoding="utf-8"?>
<worksheet xmlns="http://schemas.openxmlformats.org/spreadsheetml/2006/main" xmlns:r="http://schemas.openxmlformats.org/officeDocument/2006/relationships">
  <sheetPr codeName="Sheet6">
    <pageSetUpPr fitToPage="1"/>
  </sheetPr>
  <dimension ref="B1:G12"/>
  <sheetViews>
    <sheetView showGridLines="0" zoomScale="80" zoomScaleNormal="80" workbookViewId="0">
      <selection activeCell="C7" sqref="C7:E7"/>
    </sheetView>
  </sheetViews>
  <sheetFormatPr defaultColWidth="0" defaultRowHeight="13.5" zeroHeight="1"/>
  <cols>
    <col min="1" max="1" width="0.875" style="365" customWidth="1"/>
    <col min="2" max="2" width="17.375" style="365" customWidth="1"/>
    <col min="3" max="3" width="38" style="366" customWidth="1"/>
    <col min="4" max="4" width="17.25" style="366" customWidth="1"/>
    <col min="5" max="5" width="28.375" style="365" customWidth="1"/>
    <col min="6" max="6" width="1.375" style="365" customWidth="1"/>
    <col min="7" max="16384" width="0" style="365" hidden="1"/>
  </cols>
  <sheetData>
    <row r="1" spans="2:7" s="11" customFormat="1" ht="21">
      <c r="B1" s="358" t="s">
        <v>455</v>
      </c>
      <c r="C1" s="359"/>
      <c r="D1" s="1046" t="s">
        <v>342</v>
      </c>
      <c r="E1" s="1934">
        <f>メイン!C10</f>
        <v>0</v>
      </c>
    </row>
    <row r="2" spans="2:7" s="13" customFormat="1" thickBot="1">
      <c r="B2" s="367"/>
      <c r="C2" s="368"/>
      <c r="D2" s="368"/>
      <c r="E2" s="368"/>
      <c r="F2" s="361"/>
      <c r="G2" s="361"/>
    </row>
    <row r="3" spans="2:7" s="11" customFormat="1" ht="21" customHeight="1" thickBot="1">
      <c r="B3" s="2370" t="s">
        <v>341</v>
      </c>
      <c r="C3" s="2371"/>
      <c r="D3" s="2371"/>
      <c r="E3" s="2372"/>
    </row>
    <row r="4" spans="2:7" s="12" customFormat="1" ht="81" customHeight="1" thickTop="1">
      <c r="B4" s="362" t="s">
        <v>831</v>
      </c>
      <c r="C4" s="2374" t="s">
        <v>1448</v>
      </c>
      <c r="D4" s="2374"/>
      <c r="E4" s="2374"/>
    </row>
    <row r="5" spans="2:7" s="11" customFormat="1" ht="81" customHeight="1">
      <c r="B5" s="679" t="s">
        <v>1450</v>
      </c>
      <c r="C5" s="2375" t="s">
        <v>1453</v>
      </c>
      <c r="D5" s="2375"/>
      <c r="E5" s="2375"/>
    </row>
    <row r="6" spans="2:7" s="11" customFormat="1" ht="81" customHeight="1">
      <c r="B6" s="679" t="s">
        <v>1451</v>
      </c>
      <c r="C6" s="2375" t="s">
        <v>1454</v>
      </c>
      <c r="D6" s="2375"/>
      <c r="E6" s="2375"/>
    </row>
    <row r="7" spans="2:7" s="11" customFormat="1" ht="81" customHeight="1">
      <c r="B7" s="679" t="s">
        <v>1452</v>
      </c>
      <c r="C7" s="2375" t="s">
        <v>1455</v>
      </c>
      <c r="D7" s="2375"/>
      <c r="E7" s="2375"/>
    </row>
    <row r="8" spans="2:7" s="11" customFormat="1" ht="81" customHeight="1">
      <c r="B8" s="679" t="s">
        <v>1456</v>
      </c>
      <c r="C8" s="2375" t="s">
        <v>1457</v>
      </c>
      <c r="D8" s="2375"/>
      <c r="E8" s="2375"/>
    </row>
    <row r="9" spans="2:7" s="11" customFormat="1" ht="81" customHeight="1">
      <c r="B9" s="679" t="s">
        <v>976</v>
      </c>
      <c r="C9" s="2375" t="s">
        <v>1458</v>
      </c>
      <c r="D9" s="2375"/>
      <c r="E9" s="2375"/>
    </row>
    <row r="10" spans="2:7" s="11" customFormat="1" ht="81" customHeight="1" thickBot="1">
      <c r="B10" s="680" t="s">
        <v>977</v>
      </c>
      <c r="C10" s="2369" t="s">
        <v>1459</v>
      </c>
      <c r="D10" s="2369"/>
      <c r="E10" s="2369"/>
    </row>
    <row r="11" spans="2:7" s="11" customFormat="1" ht="122.25" customHeight="1" thickTop="1" thickBot="1">
      <c r="B11" s="363" t="s">
        <v>829</v>
      </c>
      <c r="C11" s="2373" t="s">
        <v>1449</v>
      </c>
      <c r="D11" s="2373"/>
      <c r="E11" s="2373"/>
    </row>
    <row r="12" spans="2:7" s="11" customFormat="1">
      <c r="C12" s="364"/>
      <c r="D12" s="364"/>
    </row>
  </sheetData>
  <sheetProtection password="CC47"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7" orientation="portrait" verticalDpi="300" r:id="rId1"/>
  <headerFooter alignWithMargins="0">
    <oddHeader>&amp;L&amp;F&amp;R&amp;A</oddHeader>
    <oddFooter>&amp;C&amp;P/&amp;N</oddFooter>
  </headerFooter>
</worksheet>
</file>

<file path=xl/worksheets/sheet5.xml><?xml version="1.0" encoding="utf-8"?>
<worksheet xmlns="http://schemas.openxmlformats.org/spreadsheetml/2006/main" xmlns:r="http://schemas.openxmlformats.org/officeDocument/2006/relationships">
  <sheetPr codeName="Sheet15"/>
  <dimension ref="A1:L26"/>
  <sheetViews>
    <sheetView zoomScaleNormal="100" workbookViewId="0">
      <selection activeCell="B5" sqref="B5:C5"/>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c r="A1" s="1418" t="s">
        <v>133</v>
      </c>
      <c r="B1" s="1419"/>
      <c r="C1" s="1419"/>
      <c r="D1" s="9"/>
      <c r="E1" s="1419"/>
      <c r="F1" s="1420" t="s">
        <v>134</v>
      </c>
      <c r="G1" s="9"/>
      <c r="H1" s="9"/>
      <c r="I1" s="9"/>
      <c r="J1" s="9"/>
      <c r="K1" s="1518"/>
    </row>
    <row r="2" spans="1:12">
      <c r="A2" s="1418"/>
      <c r="B2" s="1419"/>
      <c r="C2" s="1419"/>
      <c r="D2" s="9"/>
      <c r="E2" s="1419"/>
      <c r="F2" s="1419"/>
      <c r="G2" s="9"/>
      <c r="H2" s="9"/>
      <c r="I2" s="9"/>
      <c r="J2" s="1421"/>
      <c r="K2" s="1518"/>
    </row>
    <row r="3" spans="1:12">
      <c r="A3" s="1418"/>
      <c r="B3" s="1419" t="s">
        <v>135</v>
      </c>
      <c r="C3" s="1419"/>
      <c r="D3" s="9"/>
      <c r="E3" s="1419"/>
      <c r="F3" s="1422"/>
      <c r="G3" s="9"/>
      <c r="H3" s="9"/>
      <c r="I3" s="9"/>
      <c r="J3" s="9"/>
      <c r="K3" s="1518"/>
    </row>
    <row r="4" spans="1:12" ht="14.25" thickBot="1">
      <c r="A4" s="1418"/>
      <c r="B4" s="1419" t="s">
        <v>136</v>
      </c>
      <c r="C4" s="1419"/>
      <c r="D4" s="15" t="s">
        <v>137</v>
      </c>
      <c r="E4" s="1419" t="s">
        <v>138</v>
      </c>
      <c r="F4" s="1422"/>
      <c r="G4" s="9"/>
      <c r="H4" s="9"/>
      <c r="I4" s="9"/>
      <c r="J4" s="9"/>
      <c r="K4" s="1518"/>
    </row>
    <row r="5" spans="1:12" ht="14.25" thickBot="1">
      <c r="A5" s="1418"/>
      <c r="B5" s="2376">
        <f>メイン!C17</f>
        <v>0</v>
      </c>
      <c r="C5" s="2377"/>
      <c r="D5" s="1423" t="str">
        <f>IF(B5=0,L5,VLOOKUP($B$5,$B$9:$E$19,3,FALSE))</f>
        <v>N.A.</v>
      </c>
      <c r="E5" s="1424" t="e">
        <f>VLOOKUP($B$5,$B$9:$E$19,4,FALSE)</f>
        <v>#N/A</v>
      </c>
      <c r="F5" s="1425"/>
      <c r="G5" s="9"/>
      <c r="H5" s="9"/>
      <c r="I5" s="9"/>
      <c r="J5" s="9"/>
      <c r="K5" s="1518"/>
      <c r="L5" t="s">
        <v>163</v>
      </c>
    </row>
    <row r="6" spans="1:12">
      <c r="A6" s="1418"/>
      <c r="B6" s="1426"/>
      <c r="C6" s="1426"/>
      <c r="D6" s="1427"/>
      <c r="E6" s="1426"/>
      <c r="F6" s="1428"/>
      <c r="G6" s="1429"/>
      <c r="H6" s="1429"/>
      <c r="I6" s="1429"/>
      <c r="J6" s="1429"/>
      <c r="K6" s="1518"/>
    </row>
    <row r="7" spans="1:12" ht="42" customHeight="1">
      <c r="A7" s="1430"/>
      <c r="B7" s="2378" t="s">
        <v>1227</v>
      </c>
      <c r="C7" s="2378"/>
      <c r="D7" s="2378"/>
      <c r="E7" s="2378"/>
      <c r="F7" s="1422"/>
      <c r="G7" s="2385" t="s">
        <v>957</v>
      </c>
      <c r="H7" s="2386"/>
      <c r="I7" s="2386"/>
      <c r="J7" s="2386"/>
      <c r="K7" s="1518"/>
    </row>
    <row r="8" spans="1:12" ht="14.25" thickBot="1">
      <c r="A8" s="1297"/>
      <c r="B8" s="1431" t="s">
        <v>152</v>
      </c>
      <c r="C8" s="1432"/>
      <c r="D8" s="1433" t="s">
        <v>137</v>
      </c>
      <c r="E8" s="1434" t="s">
        <v>139</v>
      </c>
      <c r="F8" s="1419"/>
      <c r="G8" s="2379" t="s">
        <v>137</v>
      </c>
      <c r="H8" s="2380"/>
      <c r="I8" s="2381" t="s">
        <v>139</v>
      </c>
      <c r="J8" s="2382"/>
      <c r="K8" s="1518"/>
    </row>
    <row r="9" spans="1:12" ht="14.25" thickBot="1">
      <c r="A9" s="1297"/>
      <c r="B9" s="1431" t="s">
        <v>153</v>
      </c>
      <c r="C9" s="1432"/>
      <c r="D9" s="1435">
        <f>H9</f>
        <v>6.8800000000000003E-4</v>
      </c>
      <c r="E9" s="1436">
        <f>J9</f>
        <v>6.8000000000000005E-4</v>
      </c>
      <c r="F9" s="1419"/>
      <c r="G9" s="1437"/>
      <c r="H9" s="1438">
        <v>6.8800000000000003E-4</v>
      </c>
      <c r="I9" s="1437"/>
      <c r="J9" s="1677">
        <v>6.8000000000000005E-4</v>
      </c>
      <c r="K9" s="1518"/>
    </row>
    <row r="10" spans="1:12" ht="14.25" thickBot="1">
      <c r="A10" s="1297"/>
      <c r="B10" s="1431" t="s">
        <v>154</v>
      </c>
      <c r="C10" s="1432"/>
      <c r="D10" s="1435">
        <f t="shared" ref="D10:D18" si="0">H10</f>
        <v>5.9999999999999995E-4</v>
      </c>
      <c r="E10" s="1436">
        <f t="shared" ref="E10:E18" si="1">J10</f>
        <v>5.5999999999999995E-4</v>
      </c>
      <c r="F10" s="1419"/>
      <c r="G10" s="1437"/>
      <c r="H10" s="1438">
        <v>5.9999999999999995E-4</v>
      </c>
      <c r="I10" s="1437"/>
      <c r="J10" s="1677">
        <v>5.5999999999999995E-4</v>
      </c>
      <c r="K10" s="1518"/>
    </row>
    <row r="11" spans="1:12" ht="14.25" thickBot="1">
      <c r="A11" s="1297"/>
      <c r="B11" s="1431" t="s">
        <v>155</v>
      </c>
      <c r="C11" s="1432"/>
      <c r="D11" s="1435">
        <f t="shared" si="0"/>
        <v>5.2499999999999997E-4</v>
      </c>
      <c r="E11" s="1436">
        <f t="shared" si="1"/>
        <v>4.06E-4</v>
      </c>
      <c r="F11" s="1419"/>
      <c r="G11" s="1437"/>
      <c r="H11" s="1438">
        <v>5.2499999999999997E-4</v>
      </c>
      <c r="I11" s="1437"/>
      <c r="J11" s="1677">
        <v>4.06E-4</v>
      </c>
      <c r="K11" s="1518"/>
    </row>
    <row r="12" spans="1:12" ht="14.25" thickBot="1">
      <c r="A12" s="1297"/>
      <c r="B12" s="1431" t="s">
        <v>156</v>
      </c>
      <c r="C12" s="1432"/>
      <c r="D12" s="1435">
        <f t="shared" si="0"/>
        <v>5.1599999999999997E-4</v>
      </c>
      <c r="E12" s="1436">
        <f t="shared" si="1"/>
        <v>3.7300000000000001E-4</v>
      </c>
      <c r="F12" s="1419"/>
      <c r="G12" s="1437"/>
      <c r="H12" s="1438">
        <v>5.1599999999999997E-4</v>
      </c>
      <c r="I12" s="1437"/>
      <c r="J12" s="1677">
        <v>3.7300000000000001E-4</v>
      </c>
      <c r="K12" s="1518"/>
    </row>
    <row r="13" spans="1:12" ht="14.25" thickBot="1">
      <c r="A13" s="1297"/>
      <c r="B13" s="1431" t="s">
        <v>157</v>
      </c>
      <c r="C13" s="1432"/>
      <c r="D13" s="1435">
        <f t="shared" si="0"/>
        <v>6.6299999999999996E-4</v>
      </c>
      <c r="E13" s="1436">
        <f t="shared" si="1"/>
        <v>4.9399999999999997E-4</v>
      </c>
      <c r="F13" s="1419"/>
      <c r="G13" s="1437"/>
      <c r="H13" s="1438">
        <v>6.6299999999999996E-4</v>
      </c>
      <c r="I13" s="1437"/>
      <c r="J13" s="1677">
        <v>4.9399999999999997E-4</v>
      </c>
      <c r="K13" s="1518"/>
    </row>
    <row r="14" spans="1:12" ht="14.25" thickBot="1">
      <c r="A14" s="1297"/>
      <c r="B14" s="1431" t="s">
        <v>158</v>
      </c>
      <c r="C14" s="1432"/>
      <c r="D14" s="1435">
        <f t="shared" si="0"/>
        <v>5.1400000000000003E-4</v>
      </c>
      <c r="E14" s="1436">
        <f t="shared" si="1"/>
        <v>4.75E-4</v>
      </c>
      <c r="F14" s="1419"/>
      <c r="G14" s="1437"/>
      <c r="H14" s="1438">
        <v>5.1400000000000003E-4</v>
      </c>
      <c r="I14" s="1437"/>
      <c r="J14" s="1677">
        <v>4.75E-4</v>
      </c>
      <c r="K14" s="1518"/>
    </row>
    <row r="15" spans="1:12" ht="14.25" thickBot="1">
      <c r="A15" s="1297"/>
      <c r="B15" s="1431" t="s">
        <v>159</v>
      </c>
      <c r="C15" s="1432"/>
      <c r="D15" s="1435">
        <f t="shared" si="0"/>
        <v>7.3800000000000005E-4</v>
      </c>
      <c r="E15" s="1436">
        <f t="shared" si="1"/>
        <v>6.7199999999999996E-4</v>
      </c>
      <c r="F15" s="1419"/>
      <c r="G15" s="1437"/>
      <c r="H15" s="1438">
        <v>7.3800000000000005E-4</v>
      </c>
      <c r="I15" s="1437"/>
      <c r="J15" s="1677">
        <v>6.7199999999999996E-4</v>
      </c>
      <c r="K15" s="1518"/>
    </row>
    <row r="16" spans="1:12" ht="14.25" thickBot="1">
      <c r="A16" s="1297"/>
      <c r="B16" s="1431" t="s">
        <v>160</v>
      </c>
      <c r="C16" s="1432"/>
      <c r="D16" s="1435">
        <f t="shared" si="0"/>
        <v>6.9999999999999999E-4</v>
      </c>
      <c r="E16" s="1436">
        <f t="shared" si="1"/>
        <v>6.5600000000000001E-4</v>
      </c>
      <c r="F16" s="1419"/>
      <c r="G16" s="1437"/>
      <c r="H16" s="1438">
        <v>6.9999999999999999E-4</v>
      </c>
      <c r="I16" s="1437"/>
      <c r="J16" s="1677">
        <v>6.5600000000000001E-4</v>
      </c>
      <c r="K16" s="1518"/>
    </row>
    <row r="17" spans="1:11" ht="14.25" thickBot="1">
      <c r="A17" s="1297"/>
      <c r="B17" s="1439" t="s">
        <v>161</v>
      </c>
      <c r="C17" s="1440"/>
      <c r="D17" s="1435">
        <f t="shared" si="0"/>
        <v>6.1200000000000002E-4</v>
      </c>
      <c r="E17" s="1436">
        <f t="shared" si="1"/>
        <v>5.9900000000000003E-4</v>
      </c>
      <c r="F17" s="1419"/>
      <c r="G17" s="1437"/>
      <c r="H17" s="1438">
        <v>6.1200000000000002E-4</v>
      </c>
      <c r="I17" s="1437"/>
      <c r="J17" s="1677">
        <v>5.9900000000000003E-4</v>
      </c>
      <c r="K17" s="1518"/>
    </row>
    <row r="18" spans="1:11" ht="14.25" thickBot="1">
      <c r="A18" s="1297"/>
      <c r="B18" s="1441" t="s">
        <v>162</v>
      </c>
      <c r="C18" s="1431"/>
      <c r="D18" s="1435">
        <f t="shared" si="0"/>
        <v>9.0300000000000005E-4</v>
      </c>
      <c r="E18" s="1436">
        <f t="shared" si="1"/>
        <v>6.9200000000000002E-4</v>
      </c>
      <c r="F18" s="1419"/>
      <c r="G18" s="1437"/>
      <c r="H18" s="1438">
        <v>9.0300000000000005E-4</v>
      </c>
      <c r="I18" s="1437"/>
      <c r="J18" s="1677">
        <v>6.9200000000000002E-4</v>
      </c>
      <c r="K18" s="1518"/>
    </row>
    <row r="19" spans="1:11" ht="14.25" hidden="1" thickBot="1">
      <c r="A19" s="1297"/>
      <c r="B19" s="1442" t="s">
        <v>140</v>
      </c>
      <c r="C19" s="1443"/>
      <c r="D19" s="1444">
        <f>D22</f>
        <v>0</v>
      </c>
      <c r="E19" s="1445">
        <f>E22</f>
        <v>0</v>
      </c>
      <c r="F19" s="1419"/>
      <c r="G19" s="1420"/>
      <c r="H19" s="1420"/>
      <c r="I19" s="1420"/>
      <c r="J19" s="1420"/>
      <c r="K19" s="1518"/>
    </row>
    <row r="20" spans="1:11">
      <c r="A20" s="15"/>
      <c r="B20" s="1446" t="s">
        <v>141</v>
      </c>
      <c r="C20" s="15"/>
      <c r="D20" s="15"/>
      <c r="E20" s="15"/>
      <c r="F20" s="15"/>
      <c r="G20" s="15"/>
      <c r="H20" s="15"/>
      <c r="I20" s="15"/>
      <c r="J20" s="15"/>
      <c r="K20" s="1518"/>
    </row>
    <row r="21" spans="1:11" ht="14.25" thickBot="1">
      <c r="A21" s="1297"/>
      <c r="B21" s="1431" t="s">
        <v>1228</v>
      </c>
      <c r="C21" s="1447"/>
      <c r="D21" s="15"/>
      <c r="E21" s="15"/>
      <c r="F21" s="1419"/>
      <c r="G21" s="15"/>
      <c r="H21" s="15"/>
      <c r="I21" s="15"/>
      <c r="J21" s="15"/>
      <c r="K21" s="1518"/>
    </row>
    <row r="22" spans="1:11" ht="14.25" thickBot="1">
      <c r="A22" s="1297"/>
      <c r="B22" s="2383"/>
      <c r="C22" s="2384"/>
      <c r="D22" s="1435"/>
      <c r="E22" s="1436"/>
      <c r="F22" s="1419"/>
      <c r="G22" s="15"/>
      <c r="H22" s="15"/>
      <c r="I22" s="15"/>
      <c r="J22" s="15"/>
      <c r="K22" s="1518"/>
    </row>
    <row r="23" spans="1:11">
      <c r="A23" s="9"/>
      <c r="B23" s="9"/>
      <c r="C23" s="9"/>
      <c r="D23" s="1448" t="s">
        <v>142</v>
      </c>
      <c r="E23" s="9"/>
      <c r="F23" s="9"/>
      <c r="G23" s="9"/>
      <c r="H23" s="9"/>
      <c r="I23" s="9"/>
      <c r="J23" s="9"/>
      <c r="K23" s="1518"/>
    </row>
    <row r="24" spans="1:11" ht="14.25" thickBot="1">
      <c r="A24" s="9"/>
      <c r="B24" s="9"/>
      <c r="C24" s="9"/>
      <c r="D24" s="1449" t="s">
        <v>143</v>
      </c>
      <c r="E24" s="9"/>
      <c r="F24" s="9"/>
      <c r="G24" s="9"/>
      <c r="H24" s="9"/>
      <c r="I24" s="9"/>
      <c r="J24" s="9"/>
      <c r="K24" s="1518"/>
    </row>
    <row r="25" spans="1:11" ht="14.25" thickBot="1">
      <c r="A25" s="9"/>
      <c r="B25" s="9"/>
      <c r="C25" s="9"/>
      <c r="D25" s="9"/>
      <c r="E25" s="9"/>
      <c r="F25" s="1421" t="s">
        <v>144</v>
      </c>
      <c r="G25" s="1450"/>
      <c r="H25" s="15" t="s">
        <v>145</v>
      </c>
      <c r="I25" s="9"/>
      <c r="J25" s="9"/>
      <c r="K25" s="1518"/>
    </row>
    <row r="26" spans="1:11" ht="7.5" customHeight="1">
      <c r="A26" s="1518"/>
      <c r="B26" s="1518"/>
      <c r="C26" s="1518"/>
      <c r="D26" s="1518"/>
      <c r="E26" s="1518"/>
      <c r="F26" s="1518"/>
      <c r="G26" s="1518"/>
      <c r="H26" s="1518"/>
      <c r="I26" s="1518"/>
      <c r="J26" s="1518"/>
      <c r="K26" s="1518"/>
    </row>
  </sheetData>
  <sheetProtection password="CC47" sheet="1" objects="1" scenarios="1"/>
  <mergeCells count="6">
    <mergeCell ref="B5:C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6.xml><?xml version="1.0" encoding="utf-8"?>
<worksheet xmlns="http://schemas.openxmlformats.org/spreadsheetml/2006/main" xmlns:r="http://schemas.openxmlformats.org/officeDocument/2006/relationships">
  <sheetPr codeName="Sheet7">
    <pageSetUpPr autoPageBreaks="0" fitToPage="1"/>
  </sheetPr>
  <dimension ref="A1:IU166"/>
  <sheetViews>
    <sheetView showGridLines="0" topLeftCell="A58" zoomScaleNormal="100" workbookViewId="0">
      <selection activeCell="H3" sqref="H3"/>
    </sheetView>
  </sheetViews>
  <sheetFormatPr defaultColWidth="0" defaultRowHeight="15.75" zeroHeight="1"/>
  <cols>
    <col min="1" max="1" width="1.375" style="300" customWidth="1"/>
    <col min="2" max="2" width="4.625" style="618" customWidth="1"/>
    <col min="3" max="3" width="1.5" style="303" customWidth="1"/>
    <col min="4" max="4" width="11.125" style="619" customWidth="1"/>
    <col min="5" max="13" width="11.125" style="300" customWidth="1"/>
    <col min="14" max="14" width="1.625" style="300" customWidth="1"/>
    <col min="15" max="15" width="4.875" style="142" hidden="1" customWidth="1"/>
    <col min="16" max="16" width="10.875" style="142" hidden="1" customWidth="1"/>
    <col min="17" max="17" width="6.375" style="142" hidden="1" customWidth="1"/>
    <col min="18" max="18" width="9.125" style="300" hidden="1" customWidth="1"/>
    <col min="19" max="19" width="13.625" style="300" hidden="1" customWidth="1"/>
    <col min="20" max="20" width="9.75" style="300" hidden="1" customWidth="1"/>
    <col min="21" max="21" width="6.625" style="300" hidden="1" customWidth="1"/>
    <col min="22" max="24" width="9" style="300" hidden="1" customWidth="1"/>
    <col min="25" max="25" width="10.125" style="300" hidden="1" customWidth="1"/>
    <col min="26" max="255" width="9" style="300" hidden="1" customWidth="1"/>
    <col min="256" max="16384" width="3.375" style="300" hidden="1"/>
  </cols>
  <sheetData>
    <row r="1" spans="1:25" s="144" customFormat="1" ht="22.5" customHeight="1">
      <c r="A1" s="51"/>
      <c r="B1" s="164"/>
      <c r="C1" s="150"/>
      <c r="D1" s="155"/>
      <c r="E1" s="51"/>
      <c r="F1" s="51"/>
      <c r="G1" s="51"/>
      <c r="H1" s="51"/>
      <c r="I1" s="51"/>
      <c r="J1" s="51"/>
      <c r="K1" s="1047" t="s">
        <v>342</v>
      </c>
      <c r="L1" s="2387">
        <f>メイン!C10</f>
        <v>0</v>
      </c>
      <c r="M1" s="2387"/>
      <c r="N1" s="150"/>
      <c r="O1" s="142"/>
      <c r="P1" s="142"/>
      <c r="Q1" s="142"/>
    </row>
    <row r="2" spans="1:25" s="144" customFormat="1" ht="9" customHeight="1" thickBot="1">
      <c r="A2" s="51"/>
      <c r="B2" s="164"/>
      <c r="C2" s="150"/>
      <c r="D2" s="155"/>
      <c r="E2" s="51"/>
      <c r="F2" s="51"/>
      <c r="G2" s="51"/>
      <c r="H2" s="51"/>
      <c r="I2" s="51"/>
      <c r="J2" s="51"/>
      <c r="K2" s="1046"/>
      <c r="L2" s="360"/>
      <c r="M2" s="47"/>
      <c r="N2" s="150"/>
      <c r="O2" s="142"/>
      <c r="P2" s="142"/>
      <c r="Q2" s="142"/>
    </row>
    <row r="3" spans="1:25" s="144" customFormat="1" ht="21.75" thickBot="1">
      <c r="A3" s="51"/>
      <c r="B3" s="308" t="s">
        <v>966</v>
      </c>
      <c r="C3" s="150"/>
      <c r="D3" s="155"/>
      <c r="E3" s="51"/>
      <c r="F3" s="51"/>
      <c r="G3" s="51"/>
      <c r="H3" s="146"/>
      <c r="I3" s="52" t="s">
        <v>1104</v>
      </c>
      <c r="J3" s="28"/>
      <c r="K3" s="51"/>
      <c r="L3" s="51"/>
      <c r="M3" s="155"/>
      <c r="N3" s="150"/>
      <c r="O3" s="130"/>
      <c r="P3" s="315" t="s">
        <v>83</v>
      </c>
      <c r="Q3" s="37"/>
      <c r="R3" s="323">
        <v>0</v>
      </c>
      <c r="S3" s="551"/>
      <c r="T3" s="318"/>
      <c r="U3" s="318"/>
      <c r="V3" s="318" t="str">
        <f>メイン!N31</f>
        <v>基本設計段階</v>
      </c>
    </row>
    <row r="4" spans="1:25" s="144" customFormat="1" ht="6" customHeight="1">
      <c r="A4" s="51"/>
      <c r="B4" s="51"/>
      <c r="C4" s="150"/>
      <c r="D4" s="155"/>
      <c r="E4" s="51"/>
      <c r="F4" s="51"/>
      <c r="G4" s="51"/>
      <c r="H4" s="51"/>
      <c r="I4" s="51"/>
      <c r="J4" s="51"/>
      <c r="K4" s="51"/>
      <c r="L4" s="51"/>
      <c r="M4" s="51"/>
      <c r="N4" s="150"/>
      <c r="Q4" s="37"/>
      <c r="R4" s="323">
        <v>1</v>
      </c>
      <c r="S4" s="551"/>
      <c r="T4" s="318" t="s">
        <v>84</v>
      </c>
      <c r="U4" s="318" t="s">
        <v>85</v>
      </c>
      <c r="V4" s="318" t="str">
        <f>メイン!N32</f>
        <v>実施設計段階</v>
      </c>
    </row>
    <row r="5" spans="1:25" s="175" customFormat="1" ht="13.5" customHeight="1">
      <c r="A5" s="150"/>
      <c r="B5" s="1061">
        <v>1</v>
      </c>
      <c r="C5" s="147" t="s">
        <v>403</v>
      </c>
      <c r="D5" s="147"/>
      <c r="E5" s="51"/>
      <c r="F5" s="150"/>
      <c r="G5" s="150"/>
      <c r="H5" s="150"/>
      <c r="I5" s="150"/>
      <c r="J5" s="150"/>
      <c r="K5" s="150"/>
      <c r="L5" s="150"/>
      <c r="M5" s="150"/>
      <c r="N5" s="150"/>
      <c r="P5" s="324"/>
      <c r="Q5" s="37"/>
      <c r="R5" s="323">
        <v>2</v>
      </c>
      <c r="S5" s="301"/>
      <c r="T5" s="301"/>
      <c r="U5" s="301"/>
      <c r="V5" s="318" t="str">
        <f>メイン!N33</f>
        <v>竣工段階</v>
      </c>
      <c r="W5" s="144"/>
      <c r="X5" s="144"/>
      <c r="Y5" s="144"/>
    </row>
    <row r="6" spans="1:25" s="175" customFormat="1" ht="13.5" customHeight="1">
      <c r="A6" s="150"/>
      <c r="B6" s="164">
        <v>1.1000000000000001</v>
      </c>
      <c r="C6" s="31" t="s">
        <v>404</v>
      </c>
      <c r="D6" s="147"/>
      <c r="E6" s="51"/>
      <c r="F6" s="150"/>
      <c r="G6" s="150"/>
      <c r="H6" s="150"/>
      <c r="I6" s="150"/>
      <c r="J6" s="150"/>
      <c r="K6" s="150"/>
      <c r="L6" s="150"/>
      <c r="M6" s="150"/>
      <c r="N6" s="150"/>
      <c r="P6" s="324"/>
      <c r="Q6" s="37"/>
      <c r="R6" s="323" t="s">
        <v>82</v>
      </c>
      <c r="S6" s="301"/>
      <c r="T6" s="132"/>
      <c r="U6" s="132"/>
      <c r="V6" s="318">
        <f>メイン!N30</f>
        <v>0</v>
      </c>
    </row>
    <row r="7" spans="1:25" s="175" customFormat="1" ht="16.5" customHeight="1" thickBot="1">
      <c r="A7" s="150"/>
      <c r="B7" s="306"/>
      <c r="C7" s="150"/>
      <c r="D7" s="1019" t="s">
        <v>950</v>
      </c>
      <c r="E7" s="413"/>
      <c r="F7" s="295"/>
      <c r="L7" s="176" t="s">
        <v>2</v>
      </c>
      <c r="M7" s="48">
        <f>重み!M12</f>
        <v>0.8</v>
      </c>
      <c r="N7" s="150"/>
      <c r="O7" s="144">
        <f>C7</f>
        <v>0</v>
      </c>
      <c r="P7" s="144" t="str">
        <f>D7</f>
        <v>1.1.1　断熱等性能の確保</v>
      </c>
      <c r="Q7" s="144">
        <f>E7</f>
        <v>0</v>
      </c>
      <c r="R7" s="144">
        <f>F7</f>
        <v>0</v>
      </c>
      <c r="S7" s="144" t="str">
        <f>L7</f>
        <v>重み係数＝</v>
      </c>
      <c r="T7" s="144">
        <f>M7</f>
        <v>0.8</v>
      </c>
    </row>
    <row r="8" spans="1:25" s="144" customFormat="1" ht="16.5" customHeight="1" thickBot="1">
      <c r="A8" s="51"/>
      <c r="B8" s="164"/>
      <c r="C8" s="607"/>
      <c r="D8" s="1049">
        <v>3</v>
      </c>
      <c r="E8" s="2391" t="s">
        <v>391</v>
      </c>
      <c r="F8" s="2392"/>
      <c r="G8" s="2392"/>
      <c r="H8" s="2392"/>
      <c r="I8" s="2392"/>
      <c r="J8" s="2392"/>
      <c r="K8" s="2392"/>
      <c r="L8" s="2392"/>
      <c r="M8" s="2393"/>
      <c r="N8" s="150"/>
      <c r="O8" s="142"/>
      <c r="Q8" s="142"/>
    </row>
    <row r="9" spans="1:25" s="144" customFormat="1" ht="16.5" customHeight="1">
      <c r="A9" s="51"/>
      <c r="B9" s="164"/>
      <c r="C9" s="607"/>
      <c r="D9" s="472" t="str">
        <f>IF(D8=$Q$14,$R$9,IF(ROUNDDOWN(D8,0)=$Q$9,$S$9,$R$9))</f>
        <v>　レベル　1</v>
      </c>
      <c r="E9" s="628" t="s">
        <v>923</v>
      </c>
      <c r="F9" s="779"/>
      <c r="G9" s="779"/>
      <c r="H9" s="779"/>
      <c r="I9" s="779"/>
      <c r="J9" s="779"/>
      <c r="K9" s="779"/>
      <c r="L9" s="779"/>
      <c r="M9" s="780"/>
      <c r="N9" s="150"/>
      <c r="P9" s="584">
        <f>$Q$9</f>
        <v>1</v>
      </c>
      <c r="Q9" s="316">
        <v>1</v>
      </c>
      <c r="R9" s="319" t="s">
        <v>459</v>
      </c>
      <c r="S9" s="317" t="s">
        <v>77</v>
      </c>
      <c r="T9" s="132"/>
    </row>
    <row r="10" spans="1:25" s="144" customFormat="1" ht="16.5" customHeight="1">
      <c r="A10" s="51"/>
      <c r="B10" s="164"/>
      <c r="C10" s="607"/>
      <c r="D10" s="39" t="str">
        <f>IF(D8=$Q$14,$R$10,IF(ROUNDDOWN(D8,0)=$Q$10,$S$10,$R$10))</f>
        <v>　レベル　2</v>
      </c>
      <c r="E10" s="174" t="s">
        <v>924</v>
      </c>
      <c r="F10" s="774"/>
      <c r="G10" s="774"/>
      <c r="H10" s="774"/>
      <c r="I10" s="774"/>
      <c r="J10" s="774"/>
      <c r="K10" s="774"/>
      <c r="L10" s="774"/>
      <c r="M10" s="775"/>
      <c r="N10" s="150"/>
      <c r="P10" s="584">
        <f>$Q$10</f>
        <v>2</v>
      </c>
      <c r="Q10" s="316">
        <v>2</v>
      </c>
      <c r="R10" s="319" t="s">
        <v>460</v>
      </c>
      <c r="S10" s="317" t="s">
        <v>78</v>
      </c>
      <c r="T10" s="132"/>
    </row>
    <row r="11" spans="1:25" s="144" customFormat="1" ht="16.5" customHeight="1">
      <c r="A11" s="51"/>
      <c r="B11" s="164"/>
      <c r="C11" s="607"/>
      <c r="D11" s="39" t="str">
        <f>IF(D8=$Q$14,$R$11,IF(ROUNDDOWN(D8,0)=$Q$11,$S$11,$R$11))</f>
        <v>■レベル　3</v>
      </c>
      <c r="E11" s="174" t="s">
        <v>925</v>
      </c>
      <c r="F11" s="774"/>
      <c r="G11" s="774"/>
      <c r="H11" s="774"/>
      <c r="I11" s="774"/>
      <c r="J11" s="774"/>
      <c r="K11" s="774"/>
      <c r="L11" s="774"/>
      <c r="M11" s="775"/>
      <c r="N11" s="150"/>
      <c r="P11" s="584">
        <f>$Q$11</f>
        <v>3</v>
      </c>
      <c r="Q11" s="316">
        <v>3</v>
      </c>
      <c r="R11" s="319" t="s">
        <v>461</v>
      </c>
      <c r="S11" s="317" t="s">
        <v>79</v>
      </c>
      <c r="T11" s="132"/>
    </row>
    <row r="12" spans="1:25" s="144" customFormat="1" ht="16.5" customHeight="1">
      <c r="A12" s="51"/>
      <c r="B12" s="164"/>
      <c r="C12" s="607"/>
      <c r="D12" s="39" t="str">
        <f>IF(D8=$Q$14,$R$12,IF(ROUNDDOWN(D8,0)=$Q$12,$S$12,$R$12))</f>
        <v>　レベル　4</v>
      </c>
      <c r="E12" s="174" t="s">
        <v>926</v>
      </c>
      <c r="F12" s="774"/>
      <c r="G12" s="774"/>
      <c r="H12" s="774"/>
      <c r="I12" s="774"/>
      <c r="J12" s="774"/>
      <c r="K12" s="569"/>
      <c r="L12" s="774"/>
      <c r="M12" s="775"/>
      <c r="N12" s="150"/>
      <c r="P12" s="584">
        <v>4</v>
      </c>
      <c r="Q12" s="316">
        <v>4</v>
      </c>
      <c r="R12" s="319" t="s">
        <v>462</v>
      </c>
      <c r="S12" s="317" t="s">
        <v>80</v>
      </c>
      <c r="T12" s="132"/>
    </row>
    <row r="13" spans="1:25" s="144" customFormat="1" ht="16.5" customHeight="1">
      <c r="A13" s="51"/>
      <c r="B13" s="164"/>
      <c r="C13" s="607"/>
      <c r="D13" s="411" t="str">
        <f>IF(D8=$Q$14,$R$13,IF(ROUNDDOWN(D8,0)=$Q$13,$S$13,$R$13))</f>
        <v>　レベル　5</v>
      </c>
      <c r="E13" s="778" t="s">
        <v>128</v>
      </c>
      <c r="F13" s="776"/>
      <c r="G13" s="776"/>
      <c r="H13" s="776"/>
      <c r="I13" s="776"/>
      <c r="J13" s="776"/>
      <c r="K13" s="776"/>
      <c r="L13" s="776"/>
      <c r="M13" s="777"/>
      <c r="N13" s="150"/>
      <c r="P13" s="584">
        <f>$Q$13</f>
        <v>5</v>
      </c>
      <c r="Q13" s="316">
        <v>5</v>
      </c>
      <c r="R13" s="319" t="s">
        <v>463</v>
      </c>
      <c r="S13" s="317" t="s">
        <v>81</v>
      </c>
      <c r="T13" s="132"/>
    </row>
    <row r="14" spans="1:25" s="144" customFormat="1" ht="8.25" customHeight="1">
      <c r="A14" s="51"/>
      <c r="B14" s="164"/>
      <c r="C14" s="607"/>
      <c r="D14" s="309"/>
      <c r="E14" s="309"/>
      <c r="F14" s="1"/>
      <c r="G14" s="1"/>
      <c r="H14" s="1"/>
      <c r="I14" s="1"/>
      <c r="J14" s="1"/>
      <c r="K14" s="1"/>
      <c r="L14" s="1"/>
      <c r="M14" s="1"/>
      <c r="N14" s="150"/>
      <c r="P14" s="584" t="s">
        <v>60</v>
      </c>
      <c r="Q14" s="324" t="s">
        <v>82</v>
      </c>
      <c r="R14" s="4"/>
      <c r="S14" s="4"/>
      <c r="T14" s="132"/>
    </row>
    <row r="15" spans="1:25" s="144" customFormat="1" ht="21" customHeight="1">
      <c r="A15" s="51"/>
      <c r="B15" s="164"/>
      <c r="C15" s="607"/>
      <c r="E15" s="781" t="s">
        <v>3</v>
      </c>
      <c r="F15" s="782"/>
      <c r="G15" s="1201"/>
      <c r="H15" s="1201"/>
      <c r="I15" s="2388"/>
      <c r="J15" s="2389"/>
      <c r="K15" s="2389"/>
      <c r="L15" s="2389"/>
      <c r="M15" s="2390"/>
      <c r="N15" s="150"/>
      <c r="P15" s="615"/>
      <c r="Q15" s="324"/>
      <c r="R15" s="4"/>
      <c r="S15" s="4"/>
      <c r="T15" s="132"/>
      <c r="U15" s="615"/>
      <c r="V15" s="132"/>
      <c r="W15" s="132"/>
      <c r="X15" s="132"/>
      <c r="Y15" s="132"/>
    </row>
    <row r="16" spans="1:25" s="144" customFormat="1">
      <c r="A16" s="51"/>
      <c r="B16" s="164"/>
      <c r="C16" s="607"/>
      <c r="N16" s="150"/>
      <c r="U16" s="615"/>
      <c r="V16" s="132"/>
      <c r="W16" s="132"/>
      <c r="X16" s="132"/>
      <c r="Y16" s="132"/>
    </row>
    <row r="17" spans="1:25" s="144" customFormat="1" ht="16.5" customHeight="1" thickBot="1">
      <c r="A17" s="51"/>
      <c r="B17" s="164"/>
      <c r="C17" s="607"/>
      <c r="D17" s="1019" t="s">
        <v>354</v>
      </c>
      <c r="E17" s="413"/>
      <c r="F17" s="295"/>
      <c r="L17" s="176" t="s">
        <v>2</v>
      </c>
      <c r="M17" s="48">
        <f>重み!M13</f>
        <v>0.2</v>
      </c>
      <c r="N17" s="150"/>
      <c r="P17" s="144" t="str">
        <f>D17</f>
        <v>1.1.2　日射の調整機能</v>
      </c>
      <c r="Q17" s="144">
        <f>E17</f>
        <v>0</v>
      </c>
      <c r="R17" s="144">
        <f>F17</f>
        <v>0</v>
      </c>
      <c r="S17" s="144" t="str">
        <f>L17</f>
        <v>重み係数＝</v>
      </c>
      <c r="T17" s="144">
        <f>M17</f>
        <v>0.2</v>
      </c>
      <c r="U17" s="615"/>
      <c r="V17" s="132"/>
      <c r="W17" s="132"/>
      <c r="X17" s="132"/>
      <c r="Y17" s="132"/>
    </row>
    <row r="18" spans="1:25" s="144" customFormat="1" ht="16.5" customHeight="1" thickBot="1">
      <c r="A18" s="51"/>
      <c r="B18" s="164"/>
      <c r="C18" s="607"/>
      <c r="D18" s="1049">
        <v>3</v>
      </c>
      <c r="E18" s="2391" t="s">
        <v>391</v>
      </c>
      <c r="F18" s="2392"/>
      <c r="G18" s="2392"/>
      <c r="H18" s="2392"/>
      <c r="I18" s="2392"/>
      <c r="J18" s="2392"/>
      <c r="K18" s="2392"/>
      <c r="L18" s="2392"/>
      <c r="M18" s="2393"/>
      <c r="N18" s="150"/>
      <c r="U18" s="615"/>
      <c r="V18" s="132"/>
      <c r="W18" s="132"/>
      <c r="X18" s="132"/>
      <c r="Y18" s="132"/>
    </row>
    <row r="19" spans="1:25" s="144" customFormat="1" ht="16.5" customHeight="1">
      <c r="A19" s="51"/>
      <c r="B19" s="164"/>
      <c r="C19" s="607"/>
      <c r="D19" s="32" t="str">
        <f>IF(D18=$Q$14,$R$9,IF(ROUNDDOWN(D18,0)=$Q$9,$S$9,$R$9))</f>
        <v>　レベル　1</v>
      </c>
      <c r="E19" s="628" t="s">
        <v>788</v>
      </c>
      <c r="F19" s="767"/>
      <c r="G19" s="767"/>
      <c r="H19" s="767"/>
      <c r="I19" s="767"/>
      <c r="J19" s="767"/>
      <c r="K19" s="767"/>
      <c r="L19" s="767"/>
      <c r="M19" s="768"/>
      <c r="N19" s="150"/>
      <c r="P19" s="584">
        <f>$Q$9</f>
        <v>1</v>
      </c>
      <c r="Q19" s="132"/>
      <c r="R19" s="132"/>
      <c r="S19" s="132"/>
      <c r="T19" s="132"/>
      <c r="U19" s="615"/>
      <c r="V19" s="132"/>
      <c r="W19" s="132"/>
      <c r="X19" s="132"/>
      <c r="Y19" s="132"/>
    </row>
    <row r="20" spans="1:25" s="144" customFormat="1" ht="16.5" customHeight="1">
      <c r="A20" s="51"/>
      <c r="B20" s="164"/>
      <c r="C20" s="607"/>
      <c r="D20" s="35" t="str">
        <f>IF(D18=$Q$14,$R$10,IF(ROUNDDOWN(D18,0)=$Q$10,$S$10,$R$10))</f>
        <v>　レベル　2</v>
      </c>
      <c r="E20" s="174" t="s">
        <v>383</v>
      </c>
      <c r="F20" s="774"/>
      <c r="G20" s="774"/>
      <c r="H20" s="774"/>
      <c r="I20" s="774"/>
      <c r="J20" s="774"/>
      <c r="K20" s="774"/>
      <c r="L20" s="774"/>
      <c r="M20" s="775"/>
      <c r="N20" s="150"/>
      <c r="P20" s="584" t="s">
        <v>791</v>
      </c>
      <c r="Q20" s="132"/>
      <c r="R20" s="132"/>
      <c r="S20" s="132"/>
      <c r="T20" s="132"/>
      <c r="U20" s="615"/>
      <c r="V20" s="132"/>
      <c r="W20" s="132"/>
      <c r="X20" s="132"/>
      <c r="Y20" s="132"/>
    </row>
    <row r="21" spans="1:25" s="144" customFormat="1" ht="16.5" customHeight="1">
      <c r="A21" s="51"/>
      <c r="B21" s="164"/>
      <c r="C21" s="607"/>
      <c r="D21" s="35" t="str">
        <f>IF(D18=$Q$14,$R$11,IF(ROUNDDOWN(D18,0)=$Q$11,$S$11,$R$11))</f>
        <v>■レベル　3</v>
      </c>
      <c r="E21" s="174" t="s">
        <v>1105</v>
      </c>
      <c r="F21" s="774"/>
      <c r="G21" s="774"/>
      <c r="H21" s="774"/>
      <c r="I21" s="774"/>
      <c r="J21" s="774"/>
      <c r="K21" s="774"/>
      <c r="L21" s="774"/>
      <c r="M21" s="775"/>
      <c r="N21" s="150"/>
      <c r="P21" s="584">
        <f>$Q$11</f>
        <v>3</v>
      </c>
      <c r="Q21" s="132"/>
      <c r="R21" s="132"/>
      <c r="S21" s="132"/>
      <c r="T21" s="132"/>
      <c r="U21" s="615"/>
      <c r="V21" s="132"/>
      <c r="W21" s="132"/>
      <c r="X21" s="132"/>
      <c r="Y21" s="132"/>
    </row>
    <row r="22" spans="1:25" s="144" customFormat="1" ht="16.5" customHeight="1">
      <c r="A22" s="51"/>
      <c r="B22" s="164"/>
      <c r="C22" s="607"/>
      <c r="D22" s="35" t="str">
        <f>IF(D18=$Q$14,$R$12,IF(ROUNDDOWN(D18,0)=$Q$12,$S$12,$R$12))</f>
        <v>　レベル　4</v>
      </c>
      <c r="E22" s="174" t="s">
        <v>1106</v>
      </c>
      <c r="F22" s="774"/>
      <c r="G22" s="774"/>
      <c r="H22" s="774"/>
      <c r="I22" s="774"/>
      <c r="J22" s="774"/>
      <c r="K22" s="774"/>
      <c r="L22" s="774"/>
      <c r="M22" s="775"/>
      <c r="N22" s="150"/>
      <c r="P22" s="584">
        <f>$Q$12</f>
        <v>4</v>
      </c>
      <c r="Q22" s="132"/>
      <c r="R22" s="132"/>
      <c r="S22" s="132"/>
      <c r="T22" s="132"/>
      <c r="U22" s="615"/>
      <c r="V22" s="132"/>
      <c r="W22" s="132"/>
      <c r="X22" s="132"/>
      <c r="Y22" s="132"/>
    </row>
    <row r="23" spans="1:25" s="144" customFormat="1" ht="16.5" customHeight="1">
      <c r="A23" s="51"/>
      <c r="B23" s="164"/>
      <c r="C23" s="607"/>
      <c r="D23" s="33" t="str">
        <f>IF(D18=$Q$14,$R$13,IF(ROUNDDOWN(D18,0)=$Q$13,$S$13,$R$13))</f>
        <v>　レベル　5</v>
      </c>
      <c r="E23" s="778" t="s">
        <v>1107</v>
      </c>
      <c r="F23" s="776"/>
      <c r="G23" s="776"/>
      <c r="H23" s="776"/>
      <c r="I23" s="776"/>
      <c r="J23" s="776"/>
      <c r="K23" s="776"/>
      <c r="L23" s="776"/>
      <c r="M23" s="777"/>
      <c r="N23" s="150"/>
      <c r="P23" s="584">
        <f>$Q$13</f>
        <v>5</v>
      </c>
      <c r="Q23" s="132"/>
      <c r="R23" s="132"/>
      <c r="S23" s="132"/>
      <c r="T23" s="132"/>
      <c r="U23" s="615"/>
      <c r="V23" s="132"/>
      <c r="W23" s="132"/>
      <c r="X23" s="132"/>
      <c r="Y23" s="132"/>
    </row>
    <row r="24" spans="1:25" s="144" customFormat="1" ht="8.25" customHeight="1">
      <c r="A24" s="51"/>
      <c r="B24" s="164"/>
      <c r="C24" s="607"/>
      <c r="D24" s="309"/>
      <c r="E24" s="309"/>
      <c r="F24" s="1"/>
      <c r="G24" s="1"/>
      <c r="H24" s="1"/>
      <c r="I24" s="1"/>
      <c r="J24" s="1"/>
      <c r="K24" s="1"/>
      <c r="L24" s="1"/>
      <c r="M24" s="1"/>
      <c r="N24" s="150"/>
      <c r="P24" s="584" t="str">
        <f>Q24</f>
        <v>対象外</v>
      </c>
      <c r="Q24" s="324" t="s">
        <v>82</v>
      </c>
      <c r="R24" s="4"/>
      <c r="S24" s="4"/>
      <c r="T24" s="132"/>
    </row>
    <row r="25" spans="1:25" s="144" customFormat="1" ht="21" customHeight="1">
      <c r="A25" s="51"/>
      <c r="B25" s="164"/>
      <c r="C25" s="607"/>
      <c r="E25" s="781" t="s">
        <v>3</v>
      </c>
      <c r="F25" s="782"/>
      <c r="G25" s="1201"/>
      <c r="H25" s="1201"/>
      <c r="I25" s="2388"/>
      <c r="J25" s="2389"/>
      <c r="K25" s="2389"/>
      <c r="L25" s="2389"/>
      <c r="M25" s="2390"/>
      <c r="N25" s="150"/>
      <c r="P25" s="615"/>
      <c r="Q25" s="324"/>
      <c r="R25" s="4"/>
      <c r="S25" s="4"/>
      <c r="T25" s="132"/>
      <c r="U25" s="615"/>
      <c r="V25" s="132"/>
      <c r="W25" s="132"/>
      <c r="X25" s="132"/>
      <c r="Y25" s="132"/>
    </row>
    <row r="26" spans="1:25" s="144" customFormat="1" ht="16.5" customHeight="1" thickBot="1">
      <c r="A26" s="51"/>
      <c r="B26" s="164"/>
      <c r="C26" s="607"/>
      <c r="E26" s="152" t="s">
        <v>1001</v>
      </c>
      <c r="F26" s="417"/>
      <c r="G26" s="417"/>
      <c r="H26" s="417"/>
      <c r="I26" s="1786"/>
      <c r="J26" s="1860"/>
      <c r="K26" s="1860"/>
      <c r="L26" s="1860"/>
      <c r="M26" s="1860"/>
      <c r="N26" s="150"/>
      <c r="P26" s="1861"/>
      <c r="Q26" s="1862"/>
      <c r="R26" s="37"/>
      <c r="S26" s="37"/>
      <c r="U26" s="1861"/>
    </row>
    <row r="27" spans="1:25" s="144" customFormat="1" ht="28.5" customHeight="1" thickBot="1">
      <c r="A27" s="51"/>
      <c r="B27" s="164"/>
      <c r="C27" s="607"/>
      <c r="E27" s="1863" t="s">
        <v>1002</v>
      </c>
      <c r="F27" s="2397" t="s">
        <v>1003</v>
      </c>
      <c r="G27" s="2398"/>
      <c r="H27" s="2398"/>
      <c r="I27" s="2398"/>
      <c r="J27" s="2398"/>
      <c r="K27" s="2398"/>
      <c r="L27" s="2398"/>
      <c r="M27" s="2399"/>
      <c r="N27" s="150"/>
      <c r="P27" s="1861"/>
      <c r="Q27" s="1862"/>
      <c r="R27" s="37"/>
      <c r="S27" s="37"/>
      <c r="U27" s="1861"/>
    </row>
    <row r="28" spans="1:25" s="144" customFormat="1" ht="9.75" customHeight="1">
      <c r="A28" s="51"/>
      <c r="B28" s="164"/>
      <c r="C28" s="607"/>
      <c r="D28" s="155"/>
      <c r="E28" s="51"/>
      <c r="F28" s="51"/>
      <c r="G28" s="51"/>
      <c r="H28" s="51"/>
      <c r="I28" s="51"/>
      <c r="J28" s="51"/>
      <c r="K28" s="51"/>
      <c r="L28" s="51"/>
      <c r="M28" s="51"/>
      <c r="N28" s="150"/>
      <c r="O28" s="142"/>
      <c r="P28" s="142"/>
      <c r="Q28" s="142"/>
    </row>
    <row r="29" spans="1:25" s="175" customFormat="1">
      <c r="A29" s="150"/>
      <c r="B29" s="1061">
        <v>1.2</v>
      </c>
      <c r="C29" s="36" t="s">
        <v>476</v>
      </c>
      <c r="D29" s="147"/>
      <c r="E29" s="310"/>
      <c r="F29" s="150"/>
      <c r="G29" s="150"/>
      <c r="H29" s="150"/>
      <c r="I29" s="150"/>
      <c r="J29" s="310"/>
      <c r="K29" s="150"/>
      <c r="L29" s="150"/>
      <c r="M29" s="150"/>
      <c r="N29" s="150"/>
      <c r="O29" s="143"/>
      <c r="P29" s="143"/>
      <c r="Q29" s="143"/>
    </row>
    <row r="30" spans="1:25" ht="16.5" customHeight="1" thickBot="1">
      <c r="A30" s="133"/>
      <c r="B30" s="307"/>
      <c r="C30" s="150"/>
      <c r="D30" s="1019" t="s">
        <v>1108</v>
      </c>
      <c r="E30" s="413"/>
      <c r="F30" s="148"/>
      <c r="L30" s="176" t="s">
        <v>2</v>
      </c>
      <c r="M30" s="173">
        <f>重み!M15</f>
        <v>0.5</v>
      </c>
      <c r="N30" s="150"/>
      <c r="O30" s="144">
        <f>C30</f>
        <v>0</v>
      </c>
      <c r="P30" s="144" t="str">
        <f>D30</f>
        <v>1.2.1　風を取り込み，熱気を逃がす</v>
      </c>
      <c r="Q30" s="144">
        <f>E30</f>
        <v>0</v>
      </c>
      <c r="R30" s="144">
        <f>F30</f>
        <v>0</v>
      </c>
      <c r="S30" s="144" t="str">
        <f>L30</f>
        <v>重み係数＝</v>
      </c>
      <c r="T30" s="144">
        <f>M30</f>
        <v>0.5</v>
      </c>
    </row>
    <row r="31" spans="1:25" ht="16.5" customHeight="1" thickBot="1">
      <c r="A31" s="133"/>
      <c r="B31" s="164"/>
      <c r="C31" s="150"/>
      <c r="D31" s="1050">
        <v>3</v>
      </c>
      <c r="E31" s="2391" t="s">
        <v>391</v>
      </c>
      <c r="F31" s="2392"/>
      <c r="G31" s="2392"/>
      <c r="H31" s="2392"/>
      <c r="I31" s="2392"/>
      <c r="J31" s="2392"/>
      <c r="K31" s="2392"/>
      <c r="L31" s="2392"/>
      <c r="M31" s="2393"/>
      <c r="N31" s="150"/>
      <c r="P31" s="144"/>
      <c r="R31" s="144"/>
      <c r="S31" s="144"/>
      <c r="T31" s="144"/>
    </row>
    <row r="32" spans="1:25" ht="16.5" customHeight="1">
      <c r="A32" s="133"/>
      <c r="B32" s="164"/>
      <c r="C32" s="150"/>
      <c r="D32" s="35" t="str">
        <f>IF(D31=$Q$14,$R$9,IF(ROUNDDOWN(D31,0)=$Q$9,$S$9,$R$9))</f>
        <v>　レベル　1</v>
      </c>
      <c r="E32" s="628" t="s">
        <v>788</v>
      </c>
      <c r="F32" s="767"/>
      <c r="G32" s="767"/>
      <c r="H32" s="767"/>
      <c r="I32" s="767"/>
      <c r="J32" s="767"/>
      <c r="K32" s="767"/>
      <c r="L32" s="767"/>
      <c r="M32" s="768"/>
      <c r="N32" s="150"/>
      <c r="P32" s="584">
        <f>$Q$9</f>
        <v>1</v>
      </c>
      <c r="S32" s="144"/>
      <c r="T32" s="144"/>
    </row>
    <row r="33" spans="1:25" ht="16.5" customHeight="1">
      <c r="A33" s="133"/>
      <c r="B33" s="164"/>
      <c r="C33" s="150"/>
      <c r="D33" s="35" t="str">
        <f>IF(D31=$Q$14,$R$10,IF(ROUNDDOWN(D31,0)=$Q$10,$S$10,$R$10))</f>
        <v>　レベル　2</v>
      </c>
      <c r="E33" s="174" t="s">
        <v>383</v>
      </c>
      <c r="F33" s="763"/>
      <c r="G33" s="763"/>
      <c r="H33" s="763"/>
      <c r="I33" s="763"/>
      <c r="J33" s="763"/>
      <c r="K33" s="763"/>
      <c r="L33" s="763"/>
      <c r="M33" s="764"/>
      <c r="N33" s="150"/>
      <c r="P33" s="584" t="s">
        <v>791</v>
      </c>
      <c r="S33" s="144"/>
      <c r="T33" s="144"/>
    </row>
    <row r="34" spans="1:25" ht="16.5" customHeight="1">
      <c r="A34" s="133"/>
      <c r="B34" s="164"/>
      <c r="C34" s="150"/>
      <c r="D34" s="35" t="str">
        <f>IF(D31=$Q$14,$R$11,IF(ROUNDDOWN(D31,0)=$Q$11,$S$11,$R$11))</f>
        <v>■レベル　3</v>
      </c>
      <c r="E34" s="174" t="s">
        <v>1109</v>
      </c>
      <c r="F34" s="763"/>
      <c r="G34" s="763"/>
      <c r="H34" s="763"/>
      <c r="I34" s="763"/>
      <c r="J34" s="763"/>
      <c r="K34" s="763"/>
      <c r="L34" s="763"/>
      <c r="M34" s="764"/>
      <c r="N34" s="150"/>
      <c r="P34" s="584">
        <f>$Q$11</f>
        <v>3</v>
      </c>
      <c r="S34" s="144"/>
      <c r="T34" s="144"/>
    </row>
    <row r="35" spans="1:25" ht="16.5" customHeight="1">
      <c r="A35" s="133"/>
      <c r="B35" s="164"/>
      <c r="C35" s="150"/>
      <c r="D35" s="35" t="str">
        <f>IF(D31=$Q$14,$R$12,IF(ROUNDDOWN(D31,0)=$Q$12,$S$12,$R$12))</f>
        <v>　レベル　4</v>
      </c>
      <c r="E35" s="174" t="s">
        <v>383</v>
      </c>
      <c r="F35" s="763"/>
      <c r="G35" s="763"/>
      <c r="H35" s="763"/>
      <c r="I35" s="763"/>
      <c r="J35" s="763"/>
      <c r="K35" s="763"/>
      <c r="L35" s="763"/>
      <c r="M35" s="764"/>
      <c r="N35" s="150"/>
      <c r="P35" s="584" t="s">
        <v>791</v>
      </c>
      <c r="S35" s="144"/>
      <c r="T35" s="144"/>
    </row>
    <row r="36" spans="1:25" ht="16.5" customHeight="1">
      <c r="A36" s="133"/>
      <c r="B36" s="164"/>
      <c r="C36" s="150"/>
      <c r="D36" s="33" t="str">
        <f>IF(D31=$Q$14,$R$13,IF(ROUNDDOWN(D31,0)=$Q$13,$S$13,$R$13))</f>
        <v>　レベル　5</v>
      </c>
      <c r="E36" s="778" t="s">
        <v>1110</v>
      </c>
      <c r="F36" s="765"/>
      <c r="G36" s="765"/>
      <c r="H36" s="765"/>
      <c r="I36" s="765"/>
      <c r="J36" s="765"/>
      <c r="K36" s="765"/>
      <c r="L36" s="765"/>
      <c r="M36" s="766"/>
      <c r="N36" s="150"/>
      <c r="P36" s="584">
        <f>$Q$13</f>
        <v>5</v>
      </c>
      <c r="S36" s="144"/>
      <c r="T36" s="144"/>
    </row>
    <row r="37" spans="1:25" s="144" customFormat="1" ht="8.25" customHeight="1">
      <c r="A37" s="51"/>
      <c r="B37" s="164"/>
      <c r="C37" s="607"/>
      <c r="D37" s="309"/>
      <c r="E37" s="309"/>
      <c r="F37" s="1"/>
      <c r="G37" s="1"/>
      <c r="H37" s="1"/>
      <c r="I37" s="1"/>
      <c r="J37" s="1"/>
      <c r="K37" s="1"/>
      <c r="L37" s="1"/>
      <c r="M37" s="1"/>
      <c r="N37" s="150"/>
      <c r="P37" s="584" t="s">
        <v>60</v>
      </c>
      <c r="Q37" s="324" t="s">
        <v>82</v>
      </c>
      <c r="R37" s="4"/>
      <c r="S37" s="4"/>
      <c r="T37" s="132"/>
    </row>
    <row r="38" spans="1:25" s="144" customFormat="1" ht="21" customHeight="1">
      <c r="A38" s="51"/>
      <c r="B38" s="164"/>
      <c r="C38" s="607"/>
      <c r="E38" s="781" t="s">
        <v>3</v>
      </c>
      <c r="F38" s="782"/>
      <c r="G38" s="1201"/>
      <c r="H38" s="1201"/>
      <c r="I38" s="2388"/>
      <c r="J38" s="2389"/>
      <c r="K38" s="2389"/>
      <c r="L38" s="2389"/>
      <c r="M38" s="2390"/>
      <c r="N38" s="150"/>
      <c r="P38" s="615"/>
      <c r="Q38" s="324"/>
      <c r="R38" s="4"/>
      <c r="S38" s="4"/>
      <c r="T38" s="132"/>
      <c r="U38" s="615"/>
      <c r="V38" s="132"/>
      <c r="W38" s="132"/>
      <c r="X38" s="132"/>
      <c r="Y38" s="132"/>
    </row>
    <row r="39" spans="1:25" ht="9" customHeight="1">
      <c r="A39" s="133"/>
      <c r="B39" s="164"/>
      <c r="C39" s="607"/>
      <c r="D39" s="608"/>
      <c r="E39" s="28"/>
      <c r="F39" s="28"/>
      <c r="G39" s="28"/>
      <c r="H39" s="28"/>
      <c r="I39" s="28"/>
      <c r="J39" s="28"/>
      <c r="K39" s="28"/>
      <c r="L39" s="28"/>
      <c r="M39" s="28"/>
      <c r="N39" s="150"/>
      <c r="P39" s="615"/>
      <c r="S39" s="144"/>
      <c r="T39" s="144"/>
      <c r="U39" s="615"/>
    </row>
    <row r="40" spans="1:25" ht="16.5" customHeight="1" thickBot="1">
      <c r="A40" s="133"/>
      <c r="B40" s="164"/>
      <c r="C40" s="607"/>
      <c r="D40" s="1019" t="s">
        <v>353</v>
      </c>
      <c r="E40" s="413"/>
      <c r="F40" s="148"/>
      <c r="I40" s="28"/>
      <c r="J40" s="28"/>
      <c r="K40" s="28"/>
      <c r="L40" s="176" t="s">
        <v>2</v>
      </c>
      <c r="M40" s="173">
        <f>重み!M16</f>
        <v>0.5</v>
      </c>
      <c r="N40" s="150"/>
      <c r="P40" s="144" t="str">
        <f>D40</f>
        <v>1.2.2　適切な冷房計画</v>
      </c>
      <c r="Q40" s="144">
        <f>E40</f>
        <v>0</v>
      </c>
      <c r="R40" s="144">
        <f>F40</f>
        <v>0</v>
      </c>
      <c r="S40" s="144" t="str">
        <f>L40</f>
        <v>重み係数＝</v>
      </c>
      <c r="T40" s="144">
        <f>M40</f>
        <v>0.5</v>
      </c>
      <c r="U40" s="615"/>
    </row>
    <row r="41" spans="1:25" ht="16.5" customHeight="1" thickBot="1">
      <c r="A41" s="133"/>
      <c r="B41" s="164"/>
      <c r="C41" s="607"/>
      <c r="D41" s="1049">
        <v>3</v>
      </c>
      <c r="E41" s="2391" t="s">
        <v>391</v>
      </c>
      <c r="F41" s="2392"/>
      <c r="G41" s="2392"/>
      <c r="H41" s="2392"/>
      <c r="I41" s="2392"/>
      <c r="J41" s="2392"/>
      <c r="K41" s="2392"/>
      <c r="L41" s="2392"/>
      <c r="M41" s="2393"/>
      <c r="N41" s="150"/>
      <c r="P41" s="144"/>
      <c r="Q41" s="144"/>
      <c r="R41" s="144"/>
      <c r="S41" s="144"/>
      <c r="T41" s="144"/>
      <c r="U41" s="615"/>
    </row>
    <row r="42" spans="1:25" ht="16.5" customHeight="1">
      <c r="A42" s="133"/>
      <c r="B42" s="164"/>
      <c r="C42" s="607"/>
      <c r="D42" s="32" t="str">
        <f>IF(D41=$Q$14,$R$9,IF(ROUNDDOWN(D41,0)=$Q$9,$S$9,$R$9))</f>
        <v>　レベル　1</v>
      </c>
      <c r="E42" s="628" t="s">
        <v>1111</v>
      </c>
      <c r="F42" s="767"/>
      <c r="G42" s="767"/>
      <c r="H42" s="767"/>
      <c r="I42" s="767"/>
      <c r="J42" s="767"/>
      <c r="K42" s="767"/>
      <c r="L42" s="767"/>
      <c r="M42" s="768"/>
      <c r="N42" s="150"/>
      <c r="P42" s="584">
        <f>$Q$9</f>
        <v>1</v>
      </c>
      <c r="Q42" s="300"/>
      <c r="S42" s="144"/>
      <c r="T42" s="144"/>
      <c r="U42" s="615"/>
    </row>
    <row r="43" spans="1:25" ht="16.5" customHeight="1">
      <c r="A43" s="133"/>
      <c r="B43" s="164"/>
      <c r="C43" s="607"/>
      <c r="D43" s="35" t="str">
        <f>IF(D41=$Q$14,$R$10,IF(ROUNDDOWN(D41,0)=$Q$10,$S$10,$R$10))</f>
        <v>　レベル　2</v>
      </c>
      <c r="E43" s="174" t="s">
        <v>383</v>
      </c>
      <c r="F43" s="763"/>
      <c r="G43" s="763"/>
      <c r="H43" s="763"/>
      <c r="I43" s="763"/>
      <c r="J43" s="763"/>
      <c r="K43" s="763"/>
      <c r="L43" s="763"/>
      <c r="M43" s="764"/>
      <c r="N43" s="150"/>
      <c r="P43" s="584" t="s">
        <v>791</v>
      </c>
      <c r="Q43" s="300"/>
      <c r="S43" s="144"/>
      <c r="T43" s="144"/>
      <c r="U43" s="615"/>
    </row>
    <row r="44" spans="1:25" ht="16.5" customHeight="1">
      <c r="A44" s="133"/>
      <c r="B44" s="164"/>
      <c r="C44" s="607"/>
      <c r="D44" s="35" t="str">
        <f>IF(D41=$Q$14,$R$11,IF(ROUNDDOWN(D41,0)=$Q$11,$S$11,$R$11))</f>
        <v>■レベル　3</v>
      </c>
      <c r="E44" s="174" t="s">
        <v>1112</v>
      </c>
      <c r="F44" s="763"/>
      <c r="G44" s="763"/>
      <c r="H44" s="763"/>
      <c r="I44" s="763"/>
      <c r="J44" s="763"/>
      <c r="K44" s="763"/>
      <c r="L44" s="763"/>
      <c r="M44" s="764"/>
      <c r="N44" s="150"/>
      <c r="P44" s="584">
        <f>$Q$11</f>
        <v>3</v>
      </c>
      <c r="Q44" s="300"/>
      <c r="S44" s="144"/>
      <c r="T44" s="144"/>
      <c r="U44" s="615"/>
    </row>
    <row r="45" spans="1:25" ht="16.5" customHeight="1">
      <c r="A45" s="133"/>
      <c r="B45" s="164"/>
      <c r="C45" s="607"/>
      <c r="D45" s="35" t="str">
        <f>IF(D41=$Q$14,$R$12,IF(ROUNDDOWN(D41,0)=$Q$12,$S$12,$R$12))</f>
        <v>　レベル　4</v>
      </c>
      <c r="E45" s="174" t="s">
        <v>383</v>
      </c>
      <c r="F45" s="763"/>
      <c r="G45" s="763"/>
      <c r="H45" s="763"/>
      <c r="I45" s="763"/>
      <c r="J45" s="763"/>
      <c r="K45" s="763"/>
      <c r="L45" s="763"/>
      <c r="M45" s="764"/>
      <c r="N45" s="150"/>
      <c r="P45" s="584" t="s">
        <v>791</v>
      </c>
      <c r="Q45" s="300"/>
      <c r="S45" s="144"/>
      <c r="T45" s="144"/>
      <c r="U45" s="615"/>
    </row>
    <row r="46" spans="1:25" ht="16.5" customHeight="1">
      <c r="A46" s="133"/>
      <c r="B46" s="164"/>
      <c r="C46" s="607"/>
      <c r="D46" s="33" t="str">
        <f>IF(D41=$Q$14,$R$13,IF(ROUNDDOWN(D41,0)=$Q$13,$S$13,$R$13))</f>
        <v>　レベル　5</v>
      </c>
      <c r="E46" s="778" t="s">
        <v>1113</v>
      </c>
      <c r="F46" s="765"/>
      <c r="G46" s="765"/>
      <c r="H46" s="765"/>
      <c r="I46" s="765"/>
      <c r="J46" s="765"/>
      <c r="K46" s="765"/>
      <c r="L46" s="765"/>
      <c r="M46" s="766"/>
      <c r="N46" s="150"/>
      <c r="P46" s="584">
        <f>$Q$13</f>
        <v>5</v>
      </c>
      <c r="Q46" s="300"/>
      <c r="S46" s="144"/>
      <c r="T46" s="144"/>
      <c r="U46" s="615"/>
    </row>
    <row r="47" spans="1:25" s="144" customFormat="1" ht="8.25" customHeight="1">
      <c r="A47" s="51"/>
      <c r="B47" s="164"/>
      <c r="C47" s="607"/>
      <c r="D47" s="309"/>
      <c r="E47" s="309"/>
      <c r="F47" s="1"/>
      <c r="G47" s="1"/>
      <c r="H47" s="1"/>
      <c r="I47" s="1"/>
      <c r="J47" s="1"/>
      <c r="K47" s="1"/>
      <c r="L47" s="1"/>
      <c r="M47" s="1"/>
      <c r="N47" s="150"/>
      <c r="P47" s="584" t="str">
        <f>Q47</f>
        <v>対象外</v>
      </c>
      <c r="Q47" s="324" t="s">
        <v>82</v>
      </c>
      <c r="R47" s="4"/>
      <c r="S47" s="4"/>
      <c r="T47" s="132"/>
    </row>
    <row r="48" spans="1:25" s="144" customFormat="1" ht="21" customHeight="1">
      <c r="A48" s="51"/>
      <c r="B48" s="164"/>
      <c r="C48" s="607"/>
      <c r="E48" s="781" t="s">
        <v>3</v>
      </c>
      <c r="F48" s="782"/>
      <c r="G48" s="1201"/>
      <c r="H48" s="1201"/>
      <c r="I48" s="2388"/>
      <c r="J48" s="2389"/>
      <c r="K48" s="2389"/>
      <c r="L48" s="2389"/>
      <c r="M48" s="2390"/>
      <c r="N48" s="150"/>
      <c r="P48" s="615"/>
      <c r="Q48" s="324"/>
      <c r="R48" s="4"/>
      <c r="S48" s="4"/>
      <c r="T48" s="132"/>
      <c r="U48" s="615"/>
      <c r="V48" s="132"/>
      <c r="W48" s="132"/>
      <c r="X48" s="132"/>
      <c r="Y48" s="132"/>
    </row>
    <row r="49" spans="1:25" ht="10.5" customHeight="1">
      <c r="A49" s="133"/>
      <c r="B49" s="164"/>
      <c r="C49" s="607"/>
      <c r="D49" s="608"/>
      <c r="E49" s="28"/>
      <c r="F49" s="28"/>
      <c r="G49" s="28"/>
      <c r="H49" s="28"/>
      <c r="I49" s="28"/>
      <c r="J49" s="28"/>
      <c r="K49" s="28"/>
      <c r="L49" s="28"/>
      <c r="M49" s="28"/>
      <c r="N49" s="150"/>
      <c r="P49" s="615"/>
      <c r="S49" s="144"/>
      <c r="T49" s="144"/>
      <c r="U49" s="615"/>
    </row>
    <row r="50" spans="1:25" ht="15" customHeight="1">
      <c r="A50" s="133"/>
      <c r="B50" s="1061">
        <v>1.3</v>
      </c>
      <c r="C50" s="36" t="s">
        <v>478</v>
      </c>
      <c r="D50" s="147"/>
      <c r="E50" s="310"/>
      <c r="F50" s="51"/>
      <c r="G50" s="51"/>
      <c r="H50" s="51"/>
      <c r="I50" s="51"/>
      <c r="J50" s="51"/>
      <c r="K50" s="51"/>
      <c r="L50" s="51"/>
      <c r="M50" s="51"/>
      <c r="N50" s="150"/>
    </row>
    <row r="51" spans="1:25" ht="16.5" customHeight="1" thickBot="1">
      <c r="A51" s="133"/>
      <c r="B51" s="307"/>
      <c r="C51" s="612"/>
      <c r="D51" s="1019" t="s">
        <v>352</v>
      </c>
      <c r="E51" s="413"/>
      <c r="F51" s="148"/>
      <c r="I51" s="51"/>
      <c r="J51" s="51"/>
      <c r="K51" s="51"/>
      <c r="L51" s="176" t="s">
        <v>2</v>
      </c>
      <c r="M51" s="173">
        <f>重み!M18</f>
        <v>1</v>
      </c>
      <c r="N51" s="150"/>
      <c r="O51" s="144">
        <f t="shared" ref="O51:W51" si="0">C51</f>
        <v>0</v>
      </c>
      <c r="P51" s="144" t="str">
        <f t="shared" si="0"/>
        <v>1.3.1　適切な暖房計画</v>
      </c>
      <c r="Q51" s="144">
        <f t="shared" si="0"/>
        <v>0</v>
      </c>
      <c r="R51" s="144">
        <f t="shared" si="0"/>
        <v>0</v>
      </c>
      <c r="S51" s="144" t="str">
        <f>L51</f>
        <v>重み係数＝</v>
      </c>
      <c r="T51" s="144">
        <f>M51</f>
        <v>1</v>
      </c>
      <c r="U51" s="144">
        <f t="shared" si="0"/>
        <v>0</v>
      </c>
      <c r="V51" s="144">
        <f t="shared" si="0"/>
        <v>0</v>
      </c>
      <c r="W51" s="144">
        <f t="shared" si="0"/>
        <v>0</v>
      </c>
      <c r="X51" s="144" t="e">
        <f>#REF!</f>
        <v>#REF!</v>
      </c>
      <c r="Y51" s="144" t="e">
        <f>#REF!</f>
        <v>#REF!</v>
      </c>
    </row>
    <row r="52" spans="1:25" ht="16.5" customHeight="1" thickBot="1">
      <c r="A52" s="133"/>
      <c r="B52" s="164"/>
      <c r="C52" s="612"/>
      <c r="D52" s="1050">
        <v>3</v>
      </c>
      <c r="E52" s="2391" t="s">
        <v>391</v>
      </c>
      <c r="F52" s="2392"/>
      <c r="G52" s="2392"/>
      <c r="H52" s="2392"/>
      <c r="I52" s="2392"/>
      <c r="J52" s="2392"/>
      <c r="K52" s="2392"/>
      <c r="L52" s="2392"/>
      <c r="M52" s="2393"/>
      <c r="N52" s="150"/>
      <c r="P52" s="144"/>
      <c r="R52" s="144"/>
      <c r="S52" s="144"/>
      <c r="T52" s="144"/>
      <c r="U52" s="144"/>
      <c r="V52" s="144"/>
      <c r="W52" s="144"/>
      <c r="X52" s="144"/>
      <c r="Y52" s="144"/>
    </row>
    <row r="53" spans="1:25" ht="16.5" customHeight="1">
      <c r="A53" s="133"/>
      <c r="B53" s="164"/>
      <c r="C53" s="613"/>
      <c r="D53" s="32" t="str">
        <f>IF(D52=$Q$14,$R$9,IF(ROUNDDOWN(D52,0)=$Q$9,$S$9,$R$9))</f>
        <v>　レベル　1</v>
      </c>
      <c r="E53" s="522" t="s">
        <v>1111</v>
      </c>
      <c r="F53" s="580"/>
      <c r="G53" s="580"/>
      <c r="H53" s="580"/>
      <c r="I53" s="580"/>
      <c r="J53" s="580"/>
      <c r="K53" s="580"/>
      <c r="L53" s="580"/>
      <c r="M53" s="611"/>
      <c r="N53" s="150"/>
      <c r="P53" s="584">
        <f>$Q$9</f>
        <v>1</v>
      </c>
      <c r="S53" s="144"/>
      <c r="T53" s="144"/>
      <c r="U53" s="584">
        <f>$Q$9</f>
        <v>1</v>
      </c>
      <c r="X53" s="144"/>
      <c r="Y53" s="144"/>
    </row>
    <row r="54" spans="1:25" ht="16.5" customHeight="1">
      <c r="A54" s="133"/>
      <c r="B54" s="164"/>
      <c r="C54" s="613"/>
      <c r="D54" s="35" t="str">
        <f>IF(D52=$Q$14,$R$10,IF(ROUNDDOWN(D52,0)=$Q$10,$S$10,$R$10))</f>
        <v>　レベル　2</v>
      </c>
      <c r="E54" s="523" t="s">
        <v>383</v>
      </c>
      <c r="F54" s="582"/>
      <c r="G54" s="582"/>
      <c r="H54" s="582"/>
      <c r="I54" s="582"/>
      <c r="J54" s="582"/>
      <c r="K54" s="582"/>
      <c r="L54" s="582"/>
      <c r="M54" s="583"/>
      <c r="N54" s="150"/>
      <c r="P54" s="584" t="s">
        <v>792</v>
      </c>
      <c r="S54" s="144"/>
      <c r="T54" s="144"/>
      <c r="U54" s="584">
        <f>$Q$10</f>
        <v>2</v>
      </c>
      <c r="X54" s="144"/>
      <c r="Y54" s="144"/>
    </row>
    <row r="55" spans="1:25" ht="16.5" customHeight="1">
      <c r="A55" s="133"/>
      <c r="B55" s="164"/>
      <c r="C55" s="613"/>
      <c r="D55" s="35" t="str">
        <f>IF(D52=$Q$14,$R$11,IF(ROUNDDOWN(D52,0)=$Q$11,$S$11,$R$11))</f>
        <v>■レベル　3</v>
      </c>
      <c r="E55" s="523" t="s">
        <v>1114</v>
      </c>
      <c r="F55" s="582"/>
      <c r="G55" s="582"/>
      <c r="H55" s="582"/>
      <c r="I55" s="582"/>
      <c r="J55" s="582"/>
      <c r="K55" s="582"/>
      <c r="L55" s="582"/>
      <c r="M55" s="583"/>
      <c r="N55" s="150"/>
      <c r="P55" s="584">
        <f>$Q$11</f>
        <v>3</v>
      </c>
      <c r="S55" s="144"/>
      <c r="T55" s="144"/>
      <c r="U55" s="584">
        <f>$Q$11</f>
        <v>3</v>
      </c>
      <c r="X55" s="144"/>
      <c r="Y55" s="144"/>
    </row>
    <row r="56" spans="1:25" ht="16.5" customHeight="1">
      <c r="A56" s="133"/>
      <c r="B56" s="164"/>
      <c r="C56" s="613"/>
      <c r="D56" s="35" t="str">
        <f>IF(D52=$Q$14,$R$12,IF(ROUNDDOWN(D52,0)=$Q$12,$S$12,$R$12))</f>
        <v>　レベル　4</v>
      </c>
      <c r="E56" s="535" t="s">
        <v>383</v>
      </c>
      <c r="F56" s="585"/>
      <c r="G56" s="585"/>
      <c r="H56" s="585"/>
      <c r="I56" s="585"/>
      <c r="J56" s="585"/>
      <c r="K56" s="585"/>
      <c r="L56" s="585"/>
      <c r="M56" s="586"/>
      <c r="N56" s="150"/>
      <c r="P56" s="584" t="s">
        <v>793</v>
      </c>
      <c r="S56" s="144"/>
      <c r="T56" s="144"/>
      <c r="U56" s="584">
        <f>$Q$12</f>
        <v>4</v>
      </c>
      <c r="X56" s="144"/>
      <c r="Y56" s="144"/>
    </row>
    <row r="57" spans="1:25" ht="16.5" customHeight="1">
      <c r="A57" s="133"/>
      <c r="B57" s="164"/>
      <c r="C57" s="613"/>
      <c r="D57" s="33" t="str">
        <f>IF(D52=$Q$14,$R$13,IF(ROUNDDOWN(D52,0)=$Q$13,$S$13,$R$13))</f>
        <v>　レベル　5</v>
      </c>
      <c r="E57" s="561" t="s">
        <v>1115</v>
      </c>
      <c r="F57" s="587"/>
      <c r="G57" s="587"/>
      <c r="H57" s="587"/>
      <c r="I57" s="587"/>
      <c r="J57" s="587"/>
      <c r="K57" s="587"/>
      <c r="L57" s="587"/>
      <c r="M57" s="588"/>
      <c r="N57" s="150"/>
      <c r="P57" s="584">
        <f>$Q$13</f>
        <v>5</v>
      </c>
      <c r="S57" s="144"/>
      <c r="T57" s="144"/>
      <c r="U57" s="584">
        <f>$Q$13</f>
        <v>5</v>
      </c>
      <c r="X57" s="144"/>
      <c r="Y57" s="144"/>
    </row>
    <row r="58" spans="1:25" s="144" customFormat="1" ht="8.25" customHeight="1">
      <c r="A58" s="51"/>
      <c r="B58" s="164"/>
      <c r="C58" s="607"/>
      <c r="D58" s="309"/>
      <c r="E58" s="309"/>
      <c r="F58" s="1"/>
      <c r="G58" s="1"/>
      <c r="H58" s="1"/>
      <c r="I58" s="1"/>
      <c r="J58" s="1"/>
      <c r="K58" s="1"/>
      <c r="L58" s="1"/>
      <c r="M58" s="1"/>
      <c r="N58" s="150"/>
      <c r="P58" s="584" t="str">
        <f>Q58</f>
        <v>対象外</v>
      </c>
      <c r="Q58" s="324" t="s">
        <v>82</v>
      </c>
      <c r="R58" s="4"/>
      <c r="S58" s="4"/>
      <c r="T58" s="132"/>
    </row>
    <row r="59" spans="1:25" s="144" customFormat="1" ht="21" customHeight="1">
      <c r="A59" s="51"/>
      <c r="B59" s="164"/>
      <c r="C59" s="607"/>
      <c r="E59" s="781" t="s">
        <v>3</v>
      </c>
      <c r="F59" s="782"/>
      <c r="G59" s="1201"/>
      <c r="H59" s="1201"/>
      <c r="I59" s="2388"/>
      <c r="J59" s="2389"/>
      <c r="K59" s="2389"/>
      <c r="L59" s="2389"/>
      <c r="M59" s="2390"/>
      <c r="N59" s="150"/>
      <c r="P59" s="615"/>
      <c r="Q59" s="324"/>
      <c r="R59" s="4"/>
      <c r="S59" s="4"/>
      <c r="T59" s="132"/>
      <c r="U59" s="615"/>
      <c r="V59" s="132"/>
      <c r="W59" s="132"/>
      <c r="X59" s="132"/>
      <c r="Y59" s="132"/>
    </row>
    <row r="60" spans="1:25" ht="9" customHeight="1">
      <c r="A60" s="133"/>
      <c r="B60" s="164"/>
      <c r="C60" s="150"/>
      <c r="D60" s="155"/>
      <c r="E60" s="51"/>
      <c r="F60" s="51"/>
      <c r="G60" s="51"/>
      <c r="H60" s="51"/>
      <c r="I60" s="51"/>
      <c r="J60" s="51"/>
      <c r="K60" s="51"/>
      <c r="L60" s="51"/>
      <c r="M60" s="51"/>
      <c r="N60" s="150"/>
      <c r="P60" s="615"/>
      <c r="S60" s="144"/>
      <c r="T60" s="144"/>
      <c r="U60" s="615"/>
      <c r="X60" s="144"/>
    </row>
    <row r="61" spans="1:25" s="303" customFormat="1" ht="14.25" customHeight="1">
      <c r="A61" s="302"/>
      <c r="B61" s="1061">
        <v>2</v>
      </c>
      <c r="C61" s="36" t="s">
        <v>480</v>
      </c>
      <c r="D61" s="147"/>
      <c r="E61" s="150"/>
      <c r="F61" s="150"/>
      <c r="G61" s="150"/>
      <c r="H61" s="150"/>
      <c r="I61" s="600"/>
      <c r="J61" s="600"/>
      <c r="K61" s="600"/>
      <c r="L61" s="600"/>
      <c r="M61" s="600"/>
      <c r="N61" s="150"/>
      <c r="O61" s="143"/>
      <c r="P61" s="143"/>
      <c r="Q61" s="143"/>
    </row>
    <row r="62" spans="1:25" s="303" customFormat="1" ht="14.25" customHeight="1">
      <c r="A62" s="302"/>
      <c r="B62" s="1061">
        <v>2.1</v>
      </c>
      <c r="C62" s="614" t="s">
        <v>481</v>
      </c>
      <c r="D62" s="134"/>
      <c r="E62" s="150"/>
      <c r="F62" s="150"/>
      <c r="G62" s="150"/>
      <c r="H62" s="150"/>
      <c r="I62" s="600"/>
      <c r="J62" s="600"/>
      <c r="K62" s="600"/>
      <c r="L62" s="600"/>
      <c r="M62" s="600"/>
      <c r="N62" s="150"/>
      <c r="O62" s="143"/>
      <c r="P62" s="143"/>
      <c r="Q62" s="143"/>
    </row>
    <row r="63" spans="1:25" ht="16.5" customHeight="1" thickBot="1">
      <c r="A63" s="133"/>
      <c r="B63" s="134"/>
      <c r="C63" s="134"/>
      <c r="D63" s="134"/>
      <c r="E63" s="310"/>
      <c r="F63" s="148"/>
      <c r="G63" s="134"/>
      <c r="H63" s="134"/>
      <c r="I63" s="600"/>
      <c r="J63" s="600"/>
      <c r="K63" s="600"/>
      <c r="L63" s="176" t="s">
        <v>2</v>
      </c>
      <c r="M63" s="173">
        <f>重み!M21</f>
        <v>0.25</v>
      </c>
      <c r="N63" s="150"/>
      <c r="O63" s="144" t="str">
        <f>C62</f>
        <v>化学汚染物質の対策</v>
      </c>
      <c r="P63" s="144">
        <f>D62</f>
        <v>0</v>
      </c>
      <c r="Q63" s="144">
        <f t="shared" ref="Q63:Y63" si="1">E63</f>
        <v>0</v>
      </c>
      <c r="R63" s="144">
        <f t="shared" si="1"/>
        <v>0</v>
      </c>
      <c r="S63" s="144">
        <f t="shared" si="1"/>
        <v>0</v>
      </c>
      <c r="T63" s="144">
        <f t="shared" si="1"/>
        <v>0</v>
      </c>
      <c r="U63" s="144">
        <f t="shared" si="1"/>
        <v>0</v>
      </c>
      <c r="V63" s="144">
        <f t="shared" si="1"/>
        <v>0</v>
      </c>
      <c r="W63" s="144">
        <f t="shared" si="1"/>
        <v>0</v>
      </c>
      <c r="X63" s="144" t="str">
        <f t="shared" si="1"/>
        <v>重み係数＝</v>
      </c>
      <c r="Y63" s="144">
        <f t="shared" si="1"/>
        <v>0.25</v>
      </c>
    </row>
    <row r="64" spans="1:25" ht="16.5" customHeight="1" thickBot="1">
      <c r="A64" s="133"/>
      <c r="B64" s="164"/>
      <c r="C64" s="150"/>
      <c r="D64" s="1049">
        <v>3</v>
      </c>
      <c r="E64" s="2391" t="s">
        <v>391</v>
      </c>
      <c r="F64" s="2392"/>
      <c r="G64" s="2392"/>
      <c r="H64" s="2392"/>
      <c r="I64" s="2392"/>
      <c r="J64" s="2392"/>
      <c r="K64" s="2392"/>
      <c r="L64" s="2392"/>
      <c r="M64" s="2393"/>
      <c r="N64" s="150"/>
      <c r="P64" s="144"/>
      <c r="R64" s="144"/>
      <c r="S64" s="144"/>
      <c r="T64" s="144"/>
      <c r="U64" s="144"/>
      <c r="V64" s="144"/>
      <c r="W64" s="144"/>
      <c r="X64" s="144"/>
      <c r="Y64" s="144"/>
    </row>
    <row r="65" spans="1:25" ht="16.5" customHeight="1">
      <c r="A65" s="133"/>
      <c r="B65" s="164"/>
      <c r="C65" s="150"/>
      <c r="D65" s="32" t="str">
        <f>IF(D64=$Q$14,$R$9,IF(ROUNDDOWN(D64,0)=$Q$9,$S$9,$R$9))</f>
        <v>　レベル　1</v>
      </c>
      <c r="E65" s="522" t="s">
        <v>383</v>
      </c>
      <c r="F65" s="580"/>
      <c r="G65" s="580"/>
      <c r="H65" s="580"/>
      <c r="I65" s="580"/>
      <c r="J65" s="580"/>
      <c r="K65" s="580"/>
      <c r="L65" s="580"/>
      <c r="M65" s="581"/>
      <c r="N65" s="150"/>
      <c r="P65" s="584" t="s">
        <v>794</v>
      </c>
      <c r="Q65" s="144"/>
      <c r="R65" s="144"/>
      <c r="S65" s="144"/>
      <c r="T65" s="144"/>
      <c r="U65" s="584">
        <f>$Q$9</f>
        <v>1</v>
      </c>
      <c r="V65" s="144"/>
      <c r="W65" s="144"/>
      <c r="X65" s="144"/>
      <c r="Y65" s="144"/>
    </row>
    <row r="66" spans="1:25" ht="16.5" customHeight="1">
      <c r="A66" s="133"/>
      <c r="B66" s="164"/>
      <c r="C66" s="150"/>
      <c r="D66" s="35" t="str">
        <f>IF(D64=$Q$14,$R$10,IF(ROUNDDOWN(D64,0)=$Q$10,$S$10,$R$10))</f>
        <v>　レベル　2</v>
      </c>
      <c r="E66" s="523" t="s">
        <v>383</v>
      </c>
      <c r="F66" s="582"/>
      <c r="G66" s="582"/>
      <c r="H66" s="582"/>
      <c r="I66" s="582"/>
      <c r="J66" s="582"/>
      <c r="K66" s="582"/>
      <c r="L66" s="582"/>
      <c r="M66" s="583"/>
      <c r="N66" s="150"/>
      <c r="P66" s="584" t="s">
        <v>792</v>
      </c>
      <c r="Q66" s="144"/>
      <c r="R66" s="144"/>
      <c r="S66" s="144"/>
      <c r="T66" s="144"/>
      <c r="U66" s="584">
        <f>$Q$10</f>
        <v>2</v>
      </c>
      <c r="V66" s="144"/>
      <c r="W66" s="144"/>
      <c r="X66" s="144"/>
      <c r="Y66" s="144"/>
    </row>
    <row r="67" spans="1:25" ht="16.5" customHeight="1">
      <c r="A67" s="133"/>
      <c r="B67" s="164"/>
      <c r="C67" s="150"/>
      <c r="D67" s="35" t="str">
        <f>IF(D64=$Q$14,$R$11,IF(ROUNDDOWN(D64,0)=$Q$11,$S$11,$R$11))</f>
        <v>■レベル　3</v>
      </c>
      <c r="E67" s="523" t="s">
        <v>198</v>
      </c>
      <c r="F67" s="582"/>
      <c r="G67" s="582"/>
      <c r="H67" s="582"/>
      <c r="I67" s="582"/>
      <c r="J67" s="582"/>
      <c r="K67" s="582"/>
      <c r="L67" s="582"/>
      <c r="M67" s="583"/>
      <c r="N67" s="150"/>
      <c r="P67" s="584">
        <f>$Q$11</f>
        <v>3</v>
      </c>
      <c r="Q67" s="144"/>
      <c r="R67" s="144"/>
      <c r="S67" s="144"/>
      <c r="T67" s="144"/>
      <c r="U67" s="584">
        <f>$Q$11</f>
        <v>3</v>
      </c>
      <c r="V67" s="144"/>
      <c r="W67" s="144"/>
      <c r="X67" s="144"/>
      <c r="Y67" s="144"/>
    </row>
    <row r="68" spans="1:25" ht="16.5" customHeight="1">
      <c r="A68" s="133"/>
      <c r="B68" s="164"/>
      <c r="C68" s="150"/>
      <c r="D68" s="35" t="str">
        <f>IF(D64=$Q$14,$R$12,IF(ROUNDDOWN(D64,0)=$Q$12,$S$12,$R$12))</f>
        <v>　レベル　4</v>
      </c>
      <c r="E68" s="535" t="s">
        <v>199</v>
      </c>
      <c r="F68" s="585"/>
      <c r="G68" s="585"/>
      <c r="H68" s="585"/>
      <c r="I68" s="585"/>
      <c r="J68" s="585"/>
      <c r="K68" s="585"/>
      <c r="L68" s="585"/>
      <c r="M68" s="586"/>
      <c r="N68" s="150"/>
      <c r="P68" s="584">
        <f>$Q$12</f>
        <v>4</v>
      </c>
      <c r="Q68" s="144"/>
      <c r="R68" s="144"/>
      <c r="S68" s="144"/>
      <c r="T68" s="144"/>
      <c r="U68" s="584">
        <f>$Q$12</f>
        <v>4</v>
      </c>
      <c r="V68" s="144"/>
      <c r="W68" s="144"/>
      <c r="X68" s="144"/>
      <c r="Y68" s="144"/>
    </row>
    <row r="69" spans="1:25" ht="16.5" customHeight="1">
      <c r="A69" s="133"/>
      <c r="B69" s="164"/>
      <c r="C69" s="150"/>
      <c r="D69" s="33" t="str">
        <f>IF(D64=$Q$14,$R$13,IF(ROUNDDOWN(D64,0)=$Q$13,$S$13,$R$13))</f>
        <v>　レベル　5</v>
      </c>
      <c r="E69" s="561" t="s">
        <v>200</v>
      </c>
      <c r="F69" s="587"/>
      <c r="G69" s="587"/>
      <c r="H69" s="587"/>
      <c r="I69" s="587"/>
      <c r="J69" s="587"/>
      <c r="K69" s="587"/>
      <c r="L69" s="587"/>
      <c r="M69" s="588"/>
      <c r="N69" s="150"/>
      <c r="P69" s="584">
        <f>$Q$13</f>
        <v>5</v>
      </c>
      <c r="Q69" s="144"/>
      <c r="R69" s="144"/>
      <c r="S69" s="144"/>
      <c r="T69" s="144"/>
      <c r="U69" s="584">
        <f>$Q$13</f>
        <v>5</v>
      </c>
      <c r="V69" s="144"/>
      <c r="W69" s="144"/>
      <c r="X69" s="144"/>
      <c r="Y69" s="144"/>
    </row>
    <row r="70" spans="1:25" s="144" customFormat="1" ht="8.25" customHeight="1">
      <c r="A70" s="51"/>
      <c r="B70" s="164"/>
      <c r="C70" s="607"/>
      <c r="D70" s="309"/>
      <c r="E70" s="309"/>
      <c r="F70" s="1"/>
      <c r="G70" s="1"/>
      <c r="H70" s="1"/>
      <c r="I70" s="1"/>
      <c r="J70" s="1"/>
      <c r="K70" s="1"/>
      <c r="L70" s="1"/>
      <c r="M70" s="1"/>
      <c r="N70" s="150"/>
      <c r="P70" s="584" t="s">
        <v>60</v>
      </c>
      <c r="Q70" s="324" t="s">
        <v>82</v>
      </c>
      <c r="R70" s="4"/>
      <c r="S70" s="4"/>
      <c r="T70" s="132"/>
    </row>
    <row r="71" spans="1:25" s="144" customFormat="1" ht="21" customHeight="1">
      <c r="A71" s="51"/>
      <c r="B71" s="164"/>
      <c r="C71" s="607"/>
      <c r="E71" s="781" t="s">
        <v>3</v>
      </c>
      <c r="F71" s="782"/>
      <c r="G71" s="1201"/>
      <c r="H71" s="1201"/>
      <c r="I71" s="2388"/>
      <c r="J71" s="2389"/>
      <c r="K71" s="2389"/>
      <c r="L71" s="2389"/>
      <c r="M71" s="2390"/>
      <c r="N71" s="150"/>
      <c r="P71" s="615"/>
      <c r="Q71" s="324"/>
      <c r="R71" s="4"/>
      <c r="S71" s="4"/>
      <c r="T71" s="132"/>
      <c r="U71" s="615"/>
      <c r="V71" s="132"/>
      <c r="W71" s="132"/>
      <c r="X71" s="132"/>
      <c r="Y71" s="132"/>
    </row>
    <row r="72" spans="1:25" ht="6.75" customHeight="1">
      <c r="A72" s="133"/>
      <c r="B72" s="164"/>
      <c r="C72" s="302"/>
      <c r="D72" s="155"/>
      <c r="E72" s="305"/>
      <c r="F72" s="51"/>
      <c r="G72" s="51"/>
      <c r="H72" s="51"/>
      <c r="I72" s="600"/>
      <c r="J72" s="600"/>
      <c r="K72" s="600"/>
      <c r="L72" s="600"/>
      <c r="M72" s="600"/>
      <c r="N72" s="150"/>
      <c r="P72" s="615"/>
      <c r="Q72" s="144"/>
      <c r="R72" s="144"/>
      <c r="S72" s="144"/>
      <c r="T72" s="144"/>
      <c r="U72" s="615"/>
      <c r="V72" s="144"/>
      <c r="W72" s="144"/>
    </row>
    <row r="73" spans="1:25">
      <c r="A73" s="133"/>
      <c r="B73" s="1061">
        <v>2.2000000000000002</v>
      </c>
      <c r="C73" s="614" t="s">
        <v>95</v>
      </c>
      <c r="D73" s="414"/>
      <c r="E73" s="305"/>
      <c r="F73" s="51"/>
      <c r="G73" s="51"/>
      <c r="H73" s="51"/>
      <c r="I73" s="600"/>
      <c r="J73" s="600"/>
      <c r="K73" s="600"/>
      <c r="L73" s="600"/>
      <c r="M73" s="600"/>
      <c r="N73" s="150"/>
      <c r="P73" s="615"/>
      <c r="Q73" s="144"/>
      <c r="R73" s="144"/>
      <c r="S73" s="144"/>
      <c r="T73" s="144"/>
      <c r="U73" s="615"/>
      <c r="V73" s="144"/>
      <c r="W73" s="144"/>
    </row>
    <row r="74" spans="1:25" s="303" customFormat="1" ht="16.5" customHeight="1" thickBot="1">
      <c r="A74" s="302"/>
      <c r="B74" s="414"/>
      <c r="C74" s="414"/>
      <c r="D74" s="414"/>
      <c r="E74" s="413"/>
      <c r="F74" s="148"/>
      <c r="G74" s="414"/>
      <c r="H74" s="414"/>
      <c r="I74" s="600"/>
      <c r="J74" s="600"/>
      <c r="K74" s="600"/>
      <c r="L74" s="176" t="s">
        <v>2</v>
      </c>
      <c r="M74" s="173">
        <f>重み!M22</f>
        <v>0.25</v>
      </c>
      <c r="N74" s="150"/>
      <c r="O74" s="144" t="str">
        <f>C73</f>
        <v>適切な換気計画</v>
      </c>
      <c r="P74" s="144">
        <f>D73</f>
        <v>0</v>
      </c>
      <c r="Q74" s="144">
        <f t="shared" ref="Q74:Y74" si="2">E74</f>
        <v>0</v>
      </c>
      <c r="R74" s="144">
        <f t="shared" si="2"/>
        <v>0</v>
      </c>
      <c r="S74" s="144">
        <f t="shared" si="2"/>
        <v>0</v>
      </c>
      <c r="T74" s="144">
        <f t="shared" si="2"/>
        <v>0</v>
      </c>
      <c r="U74" s="144">
        <f t="shared" si="2"/>
        <v>0</v>
      </c>
      <c r="V74" s="144">
        <f t="shared" si="2"/>
        <v>0</v>
      </c>
      <c r="W74" s="144">
        <f t="shared" si="2"/>
        <v>0</v>
      </c>
      <c r="X74" s="144" t="str">
        <f t="shared" si="2"/>
        <v>重み係数＝</v>
      </c>
      <c r="Y74" s="144">
        <f t="shared" si="2"/>
        <v>0.25</v>
      </c>
    </row>
    <row r="75" spans="1:25" ht="16.5" customHeight="1" thickBot="1">
      <c r="A75" s="133"/>
      <c r="B75" s="133"/>
      <c r="C75" s="302"/>
      <c r="D75" s="1049">
        <v>3</v>
      </c>
      <c r="E75" s="2391" t="s">
        <v>391</v>
      </c>
      <c r="F75" s="2392"/>
      <c r="G75" s="2392"/>
      <c r="H75" s="2392"/>
      <c r="I75" s="2392"/>
      <c r="J75" s="2392"/>
      <c r="K75" s="2392"/>
      <c r="L75" s="2392"/>
      <c r="M75" s="2393"/>
      <c r="N75" s="150"/>
      <c r="P75" s="144"/>
      <c r="R75" s="144"/>
      <c r="S75" s="144"/>
      <c r="T75" s="144"/>
      <c r="U75" s="144"/>
      <c r="V75" s="144"/>
      <c r="W75" s="144"/>
      <c r="X75" s="144"/>
      <c r="Y75" s="144"/>
    </row>
    <row r="76" spans="1:25" ht="16.5" customHeight="1">
      <c r="A76" s="133"/>
      <c r="B76" s="133"/>
      <c r="C76" s="302"/>
      <c r="D76" s="32" t="str">
        <f>IF(D75=$Q$14,$R$9,IF(ROUNDDOWN(D75,0)=$Q$9,$S$9,$R$9))</f>
        <v>　レベル　1</v>
      </c>
      <c r="E76" s="522" t="s">
        <v>383</v>
      </c>
      <c r="F76" s="580"/>
      <c r="G76" s="580"/>
      <c r="H76" s="580"/>
      <c r="I76" s="580"/>
      <c r="J76" s="580"/>
      <c r="K76" s="580"/>
      <c r="L76" s="580"/>
      <c r="M76" s="581"/>
      <c r="N76" s="150"/>
      <c r="P76" s="584" t="s">
        <v>792</v>
      </c>
      <c r="Q76" s="144"/>
      <c r="R76" s="144"/>
      <c r="S76" s="144"/>
      <c r="T76" s="144"/>
      <c r="U76" s="584">
        <f>$Q$9</f>
        <v>1</v>
      </c>
      <c r="V76" s="144"/>
      <c r="W76" s="144"/>
      <c r="X76" s="144"/>
      <c r="Y76" s="144"/>
    </row>
    <row r="77" spans="1:25" ht="16.5" customHeight="1">
      <c r="A77" s="133"/>
      <c r="B77" s="133"/>
      <c r="C77" s="302"/>
      <c r="D77" s="35" t="str">
        <f>IF(D75=$Q$14,$R$10,IF(ROUNDDOWN(D75,0)=$Q$10,$S$10,$R$10))</f>
        <v>　レベル　2</v>
      </c>
      <c r="E77" s="523" t="s">
        <v>33</v>
      </c>
      <c r="F77" s="582"/>
      <c r="G77" s="582"/>
      <c r="H77" s="582"/>
      <c r="I77" s="582"/>
      <c r="J77" s="582"/>
      <c r="K77" s="582"/>
      <c r="L77" s="582"/>
      <c r="M77" s="583"/>
      <c r="N77" s="150"/>
      <c r="P77" s="584">
        <f>$Q$10</f>
        <v>2</v>
      </c>
      <c r="Q77" s="144"/>
      <c r="R77" s="144"/>
      <c r="S77" s="144"/>
      <c r="T77" s="144"/>
      <c r="U77" s="584">
        <f>$Q$10</f>
        <v>2</v>
      </c>
      <c r="V77" s="144"/>
      <c r="W77" s="144"/>
      <c r="X77" s="144"/>
      <c r="Y77" s="144"/>
    </row>
    <row r="78" spans="1:25" ht="16.5" customHeight="1">
      <c r="A78" s="133"/>
      <c r="B78" s="133"/>
      <c r="C78" s="302"/>
      <c r="D78" s="35" t="str">
        <f>IF(D75=$Q$14,$R$11,IF(ROUNDDOWN(D75,0)=$Q$11,$S$11,$R$11))</f>
        <v>■レベル　3</v>
      </c>
      <c r="E78" s="523" t="s">
        <v>1116</v>
      </c>
      <c r="F78" s="582"/>
      <c r="G78" s="582"/>
      <c r="H78" s="582"/>
      <c r="I78" s="582"/>
      <c r="J78" s="582"/>
      <c r="K78" s="582"/>
      <c r="L78" s="582"/>
      <c r="M78" s="583"/>
      <c r="N78" s="150"/>
      <c r="P78" s="584">
        <f>$Q$11</f>
        <v>3</v>
      </c>
      <c r="Q78" s="144"/>
      <c r="R78" s="144"/>
      <c r="S78" s="144"/>
      <c r="T78" s="144"/>
      <c r="U78" s="584">
        <f>$Q$11</f>
        <v>3</v>
      </c>
      <c r="V78" s="144"/>
      <c r="W78" s="144"/>
      <c r="X78" s="144"/>
      <c r="Y78" s="144"/>
    </row>
    <row r="79" spans="1:25" ht="16.5" customHeight="1">
      <c r="A79" s="133"/>
      <c r="B79" s="133"/>
      <c r="C79" s="302"/>
      <c r="D79" s="35" t="str">
        <f>IF(D75=$Q$14,$R$12,IF(ROUNDDOWN(D75,0)=$Q$12,$S$12,$R$12))</f>
        <v>　レベル　4</v>
      </c>
      <c r="E79" s="535" t="s">
        <v>383</v>
      </c>
      <c r="F79" s="585"/>
      <c r="G79" s="585"/>
      <c r="H79" s="585"/>
      <c r="I79" s="585"/>
      <c r="J79" s="585"/>
      <c r="K79" s="585"/>
      <c r="L79" s="585"/>
      <c r="M79" s="586"/>
      <c r="N79" s="150"/>
      <c r="P79" s="584" t="s">
        <v>795</v>
      </c>
      <c r="Q79" s="144"/>
      <c r="R79" s="144"/>
      <c r="S79" s="144"/>
      <c r="T79" s="144"/>
      <c r="U79" s="584">
        <f>$Q$12</f>
        <v>4</v>
      </c>
      <c r="V79" s="144"/>
      <c r="W79" s="144"/>
      <c r="X79" s="144"/>
      <c r="Y79" s="144"/>
    </row>
    <row r="80" spans="1:25" ht="16.5" customHeight="1">
      <c r="A80" s="133"/>
      <c r="B80" s="133"/>
      <c r="C80" s="302"/>
      <c r="D80" s="33" t="str">
        <f>IF(D75=$Q$14,$R$13,IF(ROUNDDOWN(D75,0)=$Q$13,$S$13,$R$13))</f>
        <v>　レベル　5</v>
      </c>
      <c r="E80" s="561" t="s">
        <v>1117</v>
      </c>
      <c r="F80" s="587"/>
      <c r="G80" s="587"/>
      <c r="H80" s="587"/>
      <c r="I80" s="587"/>
      <c r="J80" s="587"/>
      <c r="K80" s="587"/>
      <c r="L80" s="587"/>
      <c r="M80" s="588"/>
      <c r="N80" s="150"/>
      <c r="P80" s="584">
        <f>$Q$13</f>
        <v>5</v>
      </c>
      <c r="Q80" s="144"/>
      <c r="R80" s="144"/>
      <c r="S80" s="144"/>
      <c r="T80" s="144"/>
      <c r="U80" s="584">
        <f>$Q$13</f>
        <v>5</v>
      </c>
      <c r="V80" s="144"/>
      <c r="W80" s="144"/>
      <c r="X80" s="144"/>
      <c r="Y80" s="144"/>
    </row>
    <row r="81" spans="1:25" s="144" customFormat="1" ht="8.25" customHeight="1">
      <c r="A81" s="51"/>
      <c r="B81" s="164"/>
      <c r="C81" s="607"/>
      <c r="D81" s="309"/>
      <c r="E81" s="309"/>
      <c r="F81" s="1"/>
      <c r="G81" s="1"/>
      <c r="H81" s="1"/>
      <c r="I81" s="1"/>
      <c r="J81" s="1"/>
      <c r="K81" s="1"/>
      <c r="L81" s="1"/>
      <c r="M81" s="1"/>
      <c r="N81" s="150"/>
      <c r="P81" s="584" t="s">
        <v>60</v>
      </c>
      <c r="Q81" s="324" t="s">
        <v>82</v>
      </c>
      <c r="R81" s="4"/>
      <c r="S81" s="4"/>
      <c r="T81" s="132"/>
    </row>
    <row r="82" spans="1:25" s="144" customFormat="1" ht="21" customHeight="1">
      <c r="A82" s="51"/>
      <c r="B82" s="164"/>
      <c r="C82" s="607"/>
      <c r="E82" s="781" t="s">
        <v>3</v>
      </c>
      <c r="F82" s="782"/>
      <c r="G82" s="1201"/>
      <c r="H82" s="1201"/>
      <c r="I82" s="2388"/>
      <c r="J82" s="2389"/>
      <c r="K82" s="2389"/>
      <c r="L82" s="2389"/>
      <c r="M82" s="2390"/>
      <c r="N82" s="150"/>
      <c r="P82" s="615"/>
      <c r="Q82" s="324"/>
      <c r="R82" s="4"/>
      <c r="S82" s="4"/>
      <c r="T82" s="132"/>
      <c r="U82" s="615"/>
      <c r="V82" s="132"/>
      <c r="W82" s="132"/>
      <c r="X82" s="132"/>
      <c r="Y82" s="132"/>
    </row>
    <row r="83" spans="1:25" ht="7.5" customHeight="1">
      <c r="A83" s="133"/>
      <c r="B83" s="164"/>
      <c r="C83" s="164"/>
      <c r="D83" s="36"/>
      <c r="E83" s="36"/>
      <c r="F83" s="36"/>
      <c r="G83" s="36"/>
      <c r="H83" s="36"/>
      <c r="I83" s="600"/>
      <c r="J83" s="600"/>
      <c r="K83" s="600"/>
      <c r="L83" s="600"/>
      <c r="M83" s="600"/>
      <c r="N83" s="150"/>
      <c r="P83" s="615"/>
      <c r="Q83" s="144"/>
      <c r="R83" s="144"/>
      <c r="S83" s="144"/>
      <c r="T83" s="144"/>
      <c r="U83" s="615"/>
      <c r="V83" s="144"/>
      <c r="W83" s="144"/>
    </row>
    <row r="84" spans="1:25" ht="18.75" customHeight="1">
      <c r="A84" s="133"/>
      <c r="B84" s="1061">
        <v>2.2999999999999998</v>
      </c>
      <c r="C84" s="614" t="s">
        <v>482</v>
      </c>
      <c r="D84" s="134"/>
      <c r="E84" s="36"/>
      <c r="F84" s="36"/>
      <c r="G84" s="36"/>
      <c r="H84" s="36"/>
      <c r="I84" s="600"/>
      <c r="J84" s="600"/>
      <c r="K84" s="600"/>
      <c r="L84" s="600"/>
      <c r="M84" s="600"/>
      <c r="N84" s="150"/>
      <c r="P84" s="615"/>
      <c r="Q84" s="144"/>
      <c r="R84" s="144"/>
      <c r="S84" s="144"/>
      <c r="T84" s="144"/>
      <c r="U84" s="615"/>
      <c r="V84" s="144"/>
      <c r="W84" s="144"/>
    </row>
    <row r="85" spans="1:25" ht="16.5" customHeight="1" thickBot="1">
      <c r="A85" s="133"/>
      <c r="B85" s="134"/>
      <c r="C85" s="134"/>
      <c r="D85" s="134"/>
      <c r="E85" s="413"/>
      <c r="F85" s="148"/>
      <c r="G85" s="134"/>
      <c r="H85" s="134"/>
      <c r="I85" s="600"/>
      <c r="J85" s="600"/>
      <c r="K85" s="600"/>
      <c r="L85" s="176" t="s">
        <v>2</v>
      </c>
      <c r="M85" s="173">
        <f>重み!M23</f>
        <v>0.25</v>
      </c>
      <c r="N85" s="150"/>
      <c r="O85" s="144" t="str">
        <f>C84</f>
        <v>犯罪に備える</v>
      </c>
      <c r="P85" s="144">
        <f>D84</f>
        <v>0</v>
      </c>
      <c r="Q85" s="144">
        <f t="shared" ref="Q85:Y85" si="3">E85</f>
        <v>0</v>
      </c>
      <c r="R85" s="144">
        <f t="shared" si="3"/>
        <v>0</v>
      </c>
      <c r="S85" s="144">
        <f t="shared" si="3"/>
        <v>0</v>
      </c>
      <c r="T85" s="144">
        <f t="shared" si="3"/>
        <v>0</v>
      </c>
      <c r="U85" s="144">
        <f t="shared" si="3"/>
        <v>0</v>
      </c>
      <c r="V85" s="144">
        <f t="shared" si="3"/>
        <v>0</v>
      </c>
      <c r="W85" s="144">
        <f t="shared" si="3"/>
        <v>0</v>
      </c>
      <c r="X85" s="144" t="str">
        <f t="shared" si="3"/>
        <v>重み係数＝</v>
      </c>
      <c r="Y85" s="144">
        <f t="shared" si="3"/>
        <v>0.25</v>
      </c>
    </row>
    <row r="86" spans="1:25" ht="16.5" customHeight="1" thickBot="1">
      <c r="A86" s="133"/>
      <c r="B86" s="164"/>
      <c r="C86" s="616"/>
      <c r="D86" s="1049">
        <v>3</v>
      </c>
      <c r="E86" s="2391" t="s">
        <v>391</v>
      </c>
      <c r="F86" s="2392"/>
      <c r="G86" s="2392"/>
      <c r="H86" s="2392"/>
      <c r="I86" s="2392"/>
      <c r="J86" s="2392"/>
      <c r="K86" s="2392"/>
      <c r="L86" s="2392"/>
      <c r="M86" s="2393"/>
      <c r="N86" s="150"/>
      <c r="P86" s="144"/>
      <c r="R86" s="144"/>
      <c r="S86" s="144"/>
      <c r="T86" s="144"/>
      <c r="U86" s="144"/>
      <c r="V86" s="144"/>
      <c r="W86" s="144"/>
      <c r="X86" s="144"/>
      <c r="Y86" s="144"/>
    </row>
    <row r="87" spans="1:25" ht="16.5" customHeight="1">
      <c r="A87" s="133"/>
      <c r="B87" s="164"/>
      <c r="C87" s="616"/>
      <c r="D87" s="32" t="str">
        <f>IF(D86=$Q$14,$R$9,IF(AND($M$3=$Y$3,ROUNDDOWN(D86,0)=$Q$9),$S$9,$R$9))</f>
        <v>　レベル　1</v>
      </c>
      <c r="E87" s="522" t="s">
        <v>309</v>
      </c>
      <c r="F87" s="580"/>
      <c r="G87" s="580"/>
      <c r="H87" s="580"/>
      <c r="I87" s="580"/>
      <c r="J87" s="580"/>
      <c r="K87" s="580"/>
      <c r="L87" s="580"/>
      <c r="M87" s="581"/>
      <c r="N87" s="150"/>
      <c r="P87" s="584">
        <f>$Q$9</f>
        <v>1</v>
      </c>
      <c r="Q87" s="144"/>
      <c r="R87" s="144"/>
      <c r="S87" s="144"/>
      <c r="T87" s="144"/>
      <c r="U87" s="584">
        <f>$Q$9</f>
        <v>1</v>
      </c>
      <c r="V87" s="144"/>
      <c r="W87" s="144"/>
      <c r="X87" s="144"/>
      <c r="Y87" s="144"/>
    </row>
    <row r="88" spans="1:25" ht="16.5" customHeight="1">
      <c r="A88" s="133"/>
      <c r="B88" s="164"/>
      <c r="C88" s="616"/>
      <c r="D88" s="35" t="str">
        <f>IF(D86=$Q$14,$R$10,IF(AND($M$3=$Y$3,ROUNDDOWN(D86,0)=$Q$10),$S$10,$R$10))</f>
        <v>　レベル　2</v>
      </c>
      <c r="E88" s="523" t="s">
        <v>383</v>
      </c>
      <c r="F88" s="582"/>
      <c r="G88" s="582"/>
      <c r="H88" s="582"/>
      <c r="I88" s="582"/>
      <c r="J88" s="582"/>
      <c r="K88" s="582"/>
      <c r="L88" s="582"/>
      <c r="M88" s="583"/>
      <c r="N88" s="150"/>
      <c r="P88" s="584" t="s">
        <v>796</v>
      </c>
      <c r="Q88" s="144"/>
      <c r="R88" s="144"/>
      <c r="S88" s="144"/>
      <c r="T88" s="144"/>
      <c r="U88" s="584">
        <f>$Q$10</f>
        <v>2</v>
      </c>
      <c r="V88" s="144"/>
      <c r="W88" s="144"/>
      <c r="X88" s="144"/>
      <c r="Y88" s="144"/>
    </row>
    <row r="89" spans="1:25" ht="24" customHeight="1">
      <c r="A89" s="133"/>
      <c r="B89" s="164"/>
      <c r="C89" s="616"/>
      <c r="D89" s="35" t="str">
        <f>IF(D86=$Q$14,$R$11,IF(AND($M$3=$Y$3,ROUNDDOWN(D86,0)=$Q$11),$S$11,$R$11))</f>
        <v>■レベル　3</v>
      </c>
      <c r="E89" s="2394" t="s">
        <v>1118</v>
      </c>
      <c r="F89" s="2395"/>
      <c r="G89" s="2395"/>
      <c r="H89" s="2395"/>
      <c r="I89" s="2395"/>
      <c r="J89" s="2395"/>
      <c r="K89" s="2395"/>
      <c r="L89" s="2395"/>
      <c r="M89" s="2396"/>
      <c r="N89" s="150"/>
      <c r="P89" s="584">
        <f>$Q$11</f>
        <v>3</v>
      </c>
      <c r="Q89" s="144"/>
      <c r="R89" s="144"/>
      <c r="S89" s="144"/>
      <c r="T89" s="144"/>
      <c r="U89" s="584">
        <f>$Q$11</f>
        <v>3</v>
      </c>
      <c r="V89" s="144"/>
      <c r="W89" s="144"/>
      <c r="X89" s="144"/>
      <c r="Y89" s="144"/>
    </row>
    <row r="90" spans="1:25" ht="24" customHeight="1">
      <c r="A90" s="133"/>
      <c r="B90" s="164"/>
      <c r="C90" s="616"/>
      <c r="D90" s="35" t="str">
        <f>IF(D86=$Q$14,$R$12,IF(AND($M$3=$Y$3,ROUNDDOWN(D86,0)=$Q$12),$S$12,$R$12))</f>
        <v>　レベル　4</v>
      </c>
      <c r="E90" s="2394" t="s">
        <v>1119</v>
      </c>
      <c r="F90" s="2406"/>
      <c r="G90" s="2406"/>
      <c r="H90" s="2406"/>
      <c r="I90" s="2406"/>
      <c r="J90" s="2406"/>
      <c r="K90" s="2406"/>
      <c r="L90" s="2406"/>
      <c r="M90" s="2407"/>
      <c r="N90" s="150"/>
      <c r="P90" s="584">
        <f>$Q$12</f>
        <v>4</v>
      </c>
      <c r="Q90" s="144"/>
      <c r="R90" s="144"/>
      <c r="S90" s="144"/>
      <c r="T90" s="144"/>
      <c r="U90" s="584">
        <f>$Q$12</f>
        <v>4</v>
      </c>
      <c r="V90" s="144"/>
      <c r="W90" s="144"/>
      <c r="X90" s="144"/>
      <c r="Y90" s="144"/>
    </row>
    <row r="91" spans="1:25" ht="24" customHeight="1">
      <c r="A91" s="133"/>
      <c r="B91" s="164"/>
      <c r="C91" s="616"/>
      <c r="D91" s="33" t="str">
        <f>IF(D86=$Q$14,$R$13,IF(AND($M$3=$Y$3,ROUNDDOWN(D86,0)=$Q$13),$S$13,$R$13))</f>
        <v>　レベル　5</v>
      </c>
      <c r="E91" s="2403" t="s">
        <v>1120</v>
      </c>
      <c r="F91" s="2408"/>
      <c r="G91" s="2408"/>
      <c r="H91" s="2408"/>
      <c r="I91" s="2408"/>
      <c r="J91" s="2408"/>
      <c r="K91" s="2408"/>
      <c r="L91" s="2408"/>
      <c r="M91" s="2409"/>
      <c r="N91" s="150"/>
      <c r="P91" s="584">
        <f>$Q$13</f>
        <v>5</v>
      </c>
      <c r="Q91" s="144"/>
      <c r="R91" s="144"/>
      <c r="S91" s="144"/>
      <c r="T91" s="144"/>
      <c r="U91" s="584">
        <f>$Q$13</f>
        <v>5</v>
      </c>
      <c r="V91" s="144"/>
      <c r="W91" s="144"/>
      <c r="X91" s="144"/>
      <c r="Y91" s="144"/>
    </row>
    <row r="92" spans="1:25" s="144" customFormat="1" ht="8.25" customHeight="1">
      <c r="A92" s="51"/>
      <c r="B92" s="164"/>
      <c r="C92" s="607"/>
      <c r="D92" s="309"/>
      <c r="E92" s="309"/>
      <c r="F92" s="1"/>
      <c r="G92" s="1"/>
      <c r="H92" s="1"/>
      <c r="I92" s="1"/>
      <c r="J92" s="1"/>
      <c r="K92" s="1"/>
      <c r="L92" s="1"/>
      <c r="M92" s="1"/>
      <c r="N92" s="150"/>
      <c r="P92" s="584" t="s">
        <v>60</v>
      </c>
      <c r="Q92" s="324" t="s">
        <v>82</v>
      </c>
      <c r="R92" s="4"/>
      <c r="S92" s="4"/>
      <c r="T92" s="132"/>
    </row>
    <row r="93" spans="1:25" s="144" customFormat="1" ht="21" customHeight="1">
      <c r="A93" s="51"/>
      <c r="B93" s="164"/>
      <c r="C93" s="607"/>
      <c r="E93" s="781" t="s">
        <v>3</v>
      </c>
      <c r="F93" s="782"/>
      <c r="G93" s="1201"/>
      <c r="H93" s="1201"/>
      <c r="I93" s="2388"/>
      <c r="J93" s="2389"/>
      <c r="K93" s="2389"/>
      <c r="L93" s="2389"/>
      <c r="M93" s="2390"/>
      <c r="N93" s="150"/>
      <c r="P93" s="615"/>
      <c r="Q93" s="324"/>
      <c r="R93" s="4"/>
      <c r="S93" s="4"/>
      <c r="T93" s="132"/>
      <c r="U93" s="615"/>
      <c r="V93" s="132"/>
      <c r="W93" s="132"/>
      <c r="X93" s="132"/>
      <c r="Y93" s="132"/>
    </row>
    <row r="94" spans="1:25" ht="8.25" customHeight="1">
      <c r="A94" s="133"/>
      <c r="B94" s="164"/>
      <c r="C94" s="164"/>
      <c r="D94" s="36"/>
      <c r="E94" s="36"/>
      <c r="F94" s="36"/>
      <c r="G94" s="36"/>
      <c r="H94" s="36"/>
      <c r="I94" s="600"/>
      <c r="J94" s="600"/>
      <c r="K94" s="600"/>
      <c r="L94" s="600"/>
      <c r="M94" s="600"/>
      <c r="N94" s="164"/>
      <c r="O94" s="597"/>
      <c r="P94" s="615"/>
      <c r="Q94" s="144"/>
      <c r="R94" s="144"/>
      <c r="S94" s="144"/>
      <c r="T94" s="144"/>
      <c r="U94" s="615"/>
      <c r="V94" s="144"/>
      <c r="W94" s="144"/>
    </row>
    <row r="95" spans="1:25" ht="19.5" customHeight="1">
      <c r="A95" s="133"/>
      <c r="B95" s="1061">
        <v>2.4</v>
      </c>
      <c r="C95" s="614" t="s">
        <v>554</v>
      </c>
      <c r="D95" s="134"/>
      <c r="E95" s="28"/>
      <c r="F95" s="28"/>
      <c r="G95" s="28"/>
      <c r="H95" s="28"/>
      <c r="I95" s="600"/>
      <c r="J95" s="600"/>
      <c r="K95" s="600"/>
      <c r="L95" s="600"/>
      <c r="M95" s="600"/>
      <c r="N95" s="150"/>
      <c r="O95" s="145"/>
      <c r="P95" s="145"/>
      <c r="Q95" s="145"/>
      <c r="R95" s="304"/>
      <c r="S95" s="304"/>
      <c r="T95" s="304"/>
    </row>
    <row r="96" spans="1:25" ht="16.5" customHeight="1" thickBot="1">
      <c r="A96" s="133"/>
      <c r="B96" s="134"/>
      <c r="C96" s="134"/>
      <c r="D96" s="134"/>
      <c r="E96" s="413"/>
      <c r="F96" s="148"/>
      <c r="G96" s="134"/>
      <c r="H96" s="134"/>
      <c r="I96" s="600"/>
      <c r="J96" s="600"/>
      <c r="K96" s="600"/>
      <c r="L96" s="176" t="s">
        <v>2</v>
      </c>
      <c r="M96" s="173">
        <f>重み!M9</f>
        <v>0.45</v>
      </c>
      <c r="N96" s="150"/>
      <c r="O96" s="144" t="str">
        <f>C95</f>
        <v>災害に備える</v>
      </c>
      <c r="P96" s="144">
        <f>D95</f>
        <v>0</v>
      </c>
      <c r="Q96" s="144">
        <f t="shared" ref="Q96:Y96" si="4">E96</f>
        <v>0</v>
      </c>
      <c r="R96" s="144">
        <f t="shared" si="4"/>
        <v>0</v>
      </c>
      <c r="S96" s="144">
        <f t="shared" si="4"/>
        <v>0</v>
      </c>
      <c r="T96" s="144">
        <f t="shared" si="4"/>
        <v>0</v>
      </c>
      <c r="U96" s="144">
        <f t="shared" si="4"/>
        <v>0</v>
      </c>
      <c r="V96" s="144">
        <f t="shared" si="4"/>
        <v>0</v>
      </c>
      <c r="W96" s="144">
        <f t="shared" si="4"/>
        <v>0</v>
      </c>
      <c r="X96" s="144" t="str">
        <f t="shared" si="4"/>
        <v>重み係数＝</v>
      </c>
      <c r="Y96" s="144">
        <f t="shared" si="4"/>
        <v>0.45</v>
      </c>
    </row>
    <row r="97" spans="1:26" ht="16.5" customHeight="1" thickBot="1">
      <c r="A97" s="133"/>
      <c r="B97" s="164"/>
      <c r="C97" s="617"/>
      <c r="D97" s="1051">
        <f>IF(AND(E108=U4,OR(COUNTIF(E104:E106,U4)&gt;=2,E107=U4)),5,IF(OR(COUNTIF(E104:E106,U4)&gt;=2,E107=U4),4,3))</f>
        <v>3</v>
      </c>
      <c r="E97" s="2391" t="s">
        <v>391</v>
      </c>
      <c r="F97" s="2392"/>
      <c r="G97" s="2392"/>
      <c r="H97" s="2392"/>
      <c r="I97" s="2392"/>
      <c r="J97" s="2392"/>
      <c r="K97" s="2392"/>
      <c r="L97" s="2392"/>
      <c r="M97" s="2393"/>
      <c r="N97" s="150"/>
      <c r="P97" s="144"/>
      <c r="R97" s="144"/>
      <c r="S97" s="144"/>
      <c r="T97" s="144"/>
      <c r="U97" s="144"/>
      <c r="V97" s="144"/>
      <c r="W97" s="144"/>
      <c r="X97" s="144"/>
      <c r="Y97" s="144"/>
    </row>
    <row r="98" spans="1:26" ht="16.5" customHeight="1">
      <c r="A98" s="133"/>
      <c r="B98" s="164"/>
      <c r="C98" s="607"/>
      <c r="D98" s="32" t="str">
        <f>IF(D97=$Q$14,$R$9,IF(ROUNDDOWN(D97,0)=$Q$9,$S$9,$R$9))</f>
        <v>　レベル　1</v>
      </c>
      <c r="E98" s="522" t="s">
        <v>383</v>
      </c>
      <c r="F98" s="49"/>
      <c r="G98" s="49"/>
      <c r="H98" s="49"/>
      <c r="I98" s="49"/>
      <c r="J98" s="49"/>
      <c r="K98" s="49"/>
      <c r="L98" s="950"/>
      <c r="M98" s="951"/>
      <c r="N98" s="150"/>
      <c r="P98" s="584">
        <f>$Q$9</f>
        <v>1</v>
      </c>
      <c r="R98" s="144"/>
      <c r="S98" s="144"/>
      <c r="T98" s="144"/>
      <c r="U98" s="584">
        <f>$Q$9</f>
        <v>1</v>
      </c>
      <c r="V98" s="144"/>
      <c r="W98" s="144"/>
      <c r="X98" s="144"/>
      <c r="Y98" s="144"/>
    </row>
    <row r="99" spans="1:26" ht="16.5" customHeight="1">
      <c r="A99" s="133"/>
      <c r="B99" s="164"/>
      <c r="C99" s="607"/>
      <c r="D99" s="35" t="str">
        <f>IF(D97=$Q$14,$R$10,IF(ROUNDDOWN(D97,0)=$Q$10,$S$10,$R$10))</f>
        <v>　レベル　2</v>
      </c>
      <c r="E99" s="523" t="s">
        <v>383</v>
      </c>
      <c r="F99" s="603"/>
      <c r="G99" s="603"/>
      <c r="H99" s="603"/>
      <c r="I99" s="603"/>
      <c r="J99" s="603"/>
      <c r="K99" s="603"/>
      <c r="L99" s="946"/>
      <c r="M99" s="947"/>
      <c r="N99" s="150"/>
      <c r="P99" s="584">
        <f>$Q$10</f>
        <v>2</v>
      </c>
      <c r="R99" s="144"/>
      <c r="S99" s="144"/>
      <c r="T99" s="144"/>
      <c r="U99" s="584">
        <f>$Q$10</f>
        <v>2</v>
      </c>
      <c r="V99" s="144"/>
      <c r="W99" s="144"/>
      <c r="X99" s="144"/>
      <c r="Y99" s="144"/>
      <c r="Z99" s="144"/>
    </row>
    <row r="100" spans="1:26" ht="16.5" customHeight="1">
      <c r="A100" s="133"/>
      <c r="B100" s="164"/>
      <c r="C100" s="607"/>
      <c r="D100" s="35" t="str">
        <f>IF(D97=$Q$14,$R$11,IF(ROUNDDOWN(D97,0)=$Q$11,$S$11,$R$11))</f>
        <v>■レベル　3</v>
      </c>
      <c r="E100" s="523" t="s">
        <v>556</v>
      </c>
      <c r="F100" s="582"/>
      <c r="G100" s="582"/>
      <c r="H100" s="582"/>
      <c r="I100" s="582"/>
      <c r="J100" s="582"/>
      <c r="K100" s="582"/>
      <c r="L100" s="946"/>
      <c r="M100" s="947"/>
      <c r="N100" s="150"/>
      <c r="P100" s="584">
        <f>$Q$11</f>
        <v>3</v>
      </c>
      <c r="R100" s="144"/>
      <c r="S100" s="144"/>
      <c r="T100" s="144"/>
      <c r="U100" s="584">
        <f>$Q$11</f>
        <v>3</v>
      </c>
      <c r="V100" s="144"/>
      <c r="W100" s="144"/>
      <c r="X100" s="144"/>
      <c r="Y100" s="144"/>
      <c r="Z100" s="144"/>
    </row>
    <row r="101" spans="1:26" ht="16.5" customHeight="1">
      <c r="A101" s="133"/>
      <c r="B101" s="164"/>
      <c r="C101" s="607"/>
      <c r="D101" s="35" t="str">
        <f>IF(D97=$Q$14,$R$12,IF(ROUNDDOWN(D97,0)=$Q$12,$S$12,$R$12))</f>
        <v>　レベル　4</v>
      </c>
      <c r="E101" s="535" t="s">
        <v>555</v>
      </c>
      <c r="F101" s="585"/>
      <c r="G101" s="585"/>
      <c r="H101" s="585"/>
      <c r="I101" s="585"/>
      <c r="J101" s="585"/>
      <c r="K101" s="585"/>
      <c r="L101" s="946"/>
      <c r="M101" s="947"/>
      <c r="N101" s="150"/>
      <c r="P101" s="584" t="s">
        <v>786</v>
      </c>
      <c r="R101" s="144"/>
      <c r="S101" s="144"/>
      <c r="T101" s="144"/>
      <c r="U101" s="584">
        <f>$Q$12</f>
        <v>4</v>
      </c>
      <c r="V101" s="144"/>
      <c r="W101" s="144"/>
      <c r="X101" s="144"/>
      <c r="Y101" s="144"/>
      <c r="Z101" s="144"/>
    </row>
    <row r="102" spans="1:26" ht="16.5" customHeight="1">
      <c r="A102" s="133"/>
      <c r="B102" s="164"/>
      <c r="C102" s="607"/>
      <c r="D102" s="33" t="str">
        <f>IF(D97=$Q$14,$R$13,IF(ROUNDDOWN(D97,0)=$Q$13,$S$13,$R$13))</f>
        <v>　レベル　5</v>
      </c>
      <c r="E102" s="561" t="s">
        <v>1121</v>
      </c>
      <c r="F102" s="587"/>
      <c r="G102" s="587"/>
      <c r="H102" s="587"/>
      <c r="I102" s="587"/>
      <c r="J102" s="587"/>
      <c r="K102" s="587"/>
      <c r="L102" s="948"/>
      <c r="M102" s="949"/>
      <c r="N102" s="150"/>
      <c r="P102" s="584" t="s">
        <v>786</v>
      </c>
      <c r="R102" s="144"/>
      <c r="S102" s="144"/>
      <c r="T102" s="144"/>
      <c r="U102" s="584">
        <f>$Q$13</f>
        <v>5</v>
      </c>
      <c r="V102" s="144"/>
      <c r="W102" s="144"/>
      <c r="X102" s="144"/>
      <c r="Y102" s="144"/>
      <c r="Z102" s="144"/>
    </row>
    <row r="103" spans="1:26" ht="16.5" customHeight="1" thickBot="1">
      <c r="A103" s="133"/>
      <c r="B103" s="164"/>
      <c r="C103" s="607"/>
      <c r="D103" s="609"/>
      <c r="E103" s="1614" t="s">
        <v>399</v>
      </c>
      <c r="F103" s="415"/>
      <c r="G103" s="415"/>
      <c r="H103" s="415"/>
      <c r="I103" s="600"/>
      <c r="J103" s="600"/>
      <c r="K103" s="600"/>
      <c r="L103" s="600"/>
      <c r="M103" s="600"/>
      <c r="N103" s="150"/>
      <c r="P103" s="584" t="s">
        <v>786</v>
      </c>
      <c r="R103" s="144"/>
      <c r="S103" s="144"/>
      <c r="T103" s="144"/>
      <c r="U103" s="584" t="str">
        <f>$Q$14</f>
        <v>対象外</v>
      </c>
      <c r="V103" s="144"/>
      <c r="W103" s="144"/>
      <c r="X103" s="144"/>
      <c r="Y103" s="144"/>
      <c r="Z103" s="144"/>
    </row>
    <row r="104" spans="1:26" ht="16.5" thickBot="1">
      <c r="A104" s="133"/>
      <c r="B104" s="164"/>
      <c r="C104" s="607"/>
      <c r="D104" s="609"/>
      <c r="E104" s="794"/>
      <c r="F104" s="512">
        <v>1</v>
      </c>
      <c r="G104" s="595" t="s">
        <v>1122</v>
      </c>
      <c r="H104" s="813"/>
      <c r="I104" s="813"/>
      <c r="J104" s="813"/>
      <c r="K104" s="813"/>
      <c r="L104" s="813"/>
      <c r="M104" s="814"/>
      <c r="N104" s="150"/>
      <c r="P104" s="615"/>
      <c r="R104" s="144"/>
      <c r="S104" s="144"/>
      <c r="T104" s="144"/>
      <c r="U104" s="615"/>
      <c r="V104" s="144"/>
      <c r="W104" s="144"/>
      <c r="X104" s="144"/>
      <c r="Y104" s="144"/>
      <c r="Z104" s="144"/>
    </row>
    <row r="105" spans="1:26" ht="16.5" thickBot="1">
      <c r="A105" s="133"/>
      <c r="B105" s="164"/>
      <c r="C105" s="607"/>
      <c r="D105" s="609"/>
      <c r="E105" s="794" t="s">
        <v>668</v>
      </c>
      <c r="F105" s="797" t="s">
        <v>557</v>
      </c>
      <c r="G105" s="523" t="s">
        <v>1123</v>
      </c>
      <c r="H105" s="513"/>
      <c r="I105" s="513"/>
      <c r="J105" s="513"/>
      <c r="K105" s="513"/>
      <c r="L105" s="513"/>
      <c r="M105" s="514"/>
      <c r="N105" s="150"/>
      <c r="P105" s="615"/>
      <c r="R105" s="144"/>
      <c r="S105" s="144"/>
      <c r="T105" s="144"/>
      <c r="U105" s="615"/>
      <c r="V105" s="144"/>
      <c r="W105" s="144"/>
      <c r="X105" s="144"/>
      <c r="Y105" s="144"/>
      <c r="Z105" s="144"/>
    </row>
    <row r="106" spans="1:26" ht="16.5" thickBot="1">
      <c r="A106" s="133"/>
      <c r="B106" s="164"/>
      <c r="C106" s="607"/>
      <c r="D106" s="609"/>
      <c r="E106" s="794"/>
      <c r="F106" s="797" t="s">
        <v>560</v>
      </c>
      <c r="G106" s="523" t="s">
        <v>559</v>
      </c>
      <c r="H106" s="513"/>
      <c r="I106" s="513"/>
      <c r="J106" s="513"/>
      <c r="K106" s="513"/>
      <c r="L106" s="513"/>
      <c r="M106" s="514"/>
      <c r="N106" s="150"/>
      <c r="P106" s="615"/>
      <c r="R106" s="144"/>
      <c r="S106" s="144"/>
      <c r="T106" s="144"/>
      <c r="U106" s="615"/>
      <c r="V106" s="144"/>
      <c r="W106" s="144"/>
      <c r="X106" s="144"/>
      <c r="Y106" s="144"/>
      <c r="Z106" s="144"/>
    </row>
    <row r="107" spans="1:26" ht="16.5" thickBot="1">
      <c r="A107" s="133"/>
      <c r="B107" s="164"/>
      <c r="C107" s="607"/>
      <c r="D107" s="609"/>
      <c r="E107" s="794"/>
      <c r="F107" s="797"/>
      <c r="G107" s="1612" t="s">
        <v>561</v>
      </c>
      <c r="H107" s="1610"/>
      <c r="I107" s="1610"/>
      <c r="J107" s="1610"/>
      <c r="K107" s="1610"/>
      <c r="L107" s="1610"/>
      <c r="M107" s="1611"/>
      <c r="N107" s="150"/>
      <c r="P107" s="615"/>
      <c r="R107" s="144"/>
      <c r="S107" s="144"/>
      <c r="T107" s="144"/>
      <c r="U107" s="615"/>
      <c r="V107" s="144"/>
      <c r="W107" s="144"/>
      <c r="X107" s="144"/>
      <c r="Y107" s="144"/>
      <c r="Z107" s="144"/>
    </row>
    <row r="108" spans="1:26" ht="42" customHeight="1" thickBot="1">
      <c r="A108" s="133"/>
      <c r="B108" s="164"/>
      <c r="C108" s="607"/>
      <c r="D108" s="609"/>
      <c r="E108" s="794"/>
      <c r="F108" s="1613" t="s">
        <v>558</v>
      </c>
      <c r="G108" s="2403" t="s">
        <v>1124</v>
      </c>
      <c r="H108" s="2404"/>
      <c r="I108" s="2404"/>
      <c r="J108" s="2404"/>
      <c r="K108" s="2404"/>
      <c r="L108" s="2404"/>
      <c r="M108" s="2405"/>
      <c r="N108" s="150"/>
      <c r="P108" s="615"/>
      <c r="R108" s="144"/>
      <c r="S108" s="144"/>
      <c r="T108" s="144"/>
      <c r="U108" s="615"/>
      <c r="V108" s="144"/>
      <c r="W108" s="144"/>
      <c r="X108" s="144"/>
      <c r="Y108" s="144"/>
      <c r="Z108" s="144"/>
    </row>
    <row r="109" spans="1:26" s="144" customFormat="1" ht="8.25" customHeight="1">
      <c r="A109" s="51"/>
      <c r="B109" s="164"/>
      <c r="C109" s="607"/>
      <c r="D109" s="309"/>
      <c r="E109" s="309"/>
      <c r="F109" s="1"/>
      <c r="G109" s="1"/>
      <c r="H109" s="1"/>
      <c r="I109" s="1"/>
      <c r="J109" s="1"/>
      <c r="K109" s="1"/>
      <c r="L109" s="1"/>
      <c r="M109" s="1"/>
      <c r="N109" s="150"/>
      <c r="P109" s="584" t="s">
        <v>786</v>
      </c>
      <c r="Q109" s="324" t="s">
        <v>82</v>
      </c>
      <c r="R109" s="4"/>
      <c r="S109" s="4"/>
      <c r="T109" s="132"/>
    </row>
    <row r="110" spans="1:26" s="144" customFormat="1" ht="21" customHeight="1">
      <c r="A110" s="51"/>
      <c r="B110" s="164"/>
      <c r="C110" s="607"/>
      <c r="E110" s="781" t="s">
        <v>3</v>
      </c>
      <c r="F110" s="782"/>
      <c r="G110" s="1201"/>
      <c r="H110" s="1201"/>
      <c r="I110" s="2388"/>
      <c r="J110" s="2389"/>
      <c r="K110" s="2389"/>
      <c r="L110" s="2389"/>
      <c r="M110" s="2390"/>
      <c r="N110" s="150"/>
      <c r="P110" s="615"/>
      <c r="Q110" s="324"/>
      <c r="R110" s="4"/>
      <c r="S110" s="4"/>
      <c r="T110" s="132"/>
      <c r="U110" s="615"/>
      <c r="V110" s="132"/>
      <c r="W110" s="132"/>
      <c r="X110" s="132"/>
      <c r="Y110" s="132"/>
    </row>
    <row r="111" spans="1:26" ht="9" customHeight="1">
      <c r="A111" s="133"/>
      <c r="B111" s="164"/>
      <c r="C111" s="607"/>
      <c r="D111" s="609"/>
      <c r="E111" s="415"/>
      <c r="F111" s="415"/>
      <c r="G111" s="415"/>
      <c r="H111" s="415"/>
      <c r="I111" s="600"/>
      <c r="J111" s="600"/>
      <c r="K111" s="600"/>
      <c r="L111" s="600"/>
      <c r="M111" s="600"/>
      <c r="N111" s="150"/>
      <c r="P111" s="615"/>
      <c r="R111" s="144"/>
      <c r="S111" s="144"/>
      <c r="T111" s="144"/>
      <c r="U111" s="615"/>
      <c r="V111" s="144"/>
      <c r="W111" s="144"/>
      <c r="X111" s="144"/>
      <c r="Y111" s="144"/>
      <c r="Z111" s="144"/>
    </row>
    <row r="112" spans="1:26" ht="19.5" customHeight="1">
      <c r="A112" s="133"/>
      <c r="B112" s="1061">
        <v>3</v>
      </c>
      <c r="C112" s="147" t="s">
        <v>483</v>
      </c>
      <c r="D112" s="147"/>
      <c r="E112" s="28"/>
      <c r="F112" s="28"/>
      <c r="G112" s="28"/>
      <c r="H112" s="28"/>
      <c r="I112" s="600"/>
      <c r="J112" s="600"/>
      <c r="K112" s="600"/>
      <c r="L112" s="600"/>
      <c r="M112" s="600"/>
      <c r="N112" s="150"/>
      <c r="O112" s="145"/>
      <c r="P112" s="145"/>
      <c r="Q112" s="145"/>
      <c r="R112" s="304"/>
      <c r="S112" s="304"/>
      <c r="T112" s="304"/>
    </row>
    <row r="113" spans="1:26" ht="19.5" customHeight="1" thickBot="1">
      <c r="A113" s="133"/>
      <c r="B113" s="1061">
        <v>3.1</v>
      </c>
      <c r="C113" s="614" t="s">
        <v>310</v>
      </c>
      <c r="D113" s="134"/>
      <c r="E113" s="28"/>
      <c r="F113" s="28"/>
      <c r="G113" s="28"/>
      <c r="H113" s="28"/>
      <c r="I113" s="600"/>
      <c r="J113" s="600"/>
      <c r="K113" s="600"/>
      <c r="L113" s="600"/>
      <c r="M113" s="600"/>
      <c r="N113" s="150"/>
      <c r="O113" s="145"/>
      <c r="P113" s="145"/>
      <c r="Q113" s="145"/>
      <c r="R113" s="304"/>
      <c r="S113" s="304"/>
      <c r="T113" s="304"/>
    </row>
    <row r="114" spans="1:26" ht="16.5" customHeight="1" thickBot="1">
      <c r="A114" s="133"/>
      <c r="B114" s="134"/>
      <c r="C114" s="134"/>
      <c r="D114" s="1051">
        <f>IF(D115+L124&lt;=5,D115+L124,5)</f>
        <v>3</v>
      </c>
      <c r="E114" s="413"/>
      <c r="F114" s="148"/>
      <c r="G114" s="134"/>
      <c r="H114" s="134"/>
      <c r="I114" s="600"/>
      <c r="J114" s="600"/>
      <c r="K114" s="600"/>
      <c r="L114" s="176" t="s">
        <v>2</v>
      </c>
      <c r="M114" s="173">
        <f>重み!M26</f>
        <v>1</v>
      </c>
      <c r="N114" s="150"/>
      <c r="O114" s="144" t="str">
        <f>C113</f>
        <v>昼光の利用</v>
      </c>
      <c r="P114" s="144">
        <f>D113</f>
        <v>0</v>
      </c>
      <c r="Q114" s="144">
        <f t="shared" ref="Q114:Y114" si="5">E114</f>
        <v>0</v>
      </c>
      <c r="R114" s="144">
        <f t="shared" si="5"/>
        <v>0</v>
      </c>
      <c r="S114" s="144">
        <f t="shared" si="5"/>
        <v>0</v>
      </c>
      <c r="T114" s="144">
        <f t="shared" si="5"/>
        <v>0</v>
      </c>
      <c r="U114" s="144">
        <f t="shared" si="5"/>
        <v>0</v>
      </c>
      <c r="V114" s="144">
        <f t="shared" si="5"/>
        <v>0</v>
      </c>
      <c r="W114" s="144">
        <f t="shared" si="5"/>
        <v>0</v>
      </c>
      <c r="X114" s="144" t="str">
        <f t="shared" si="5"/>
        <v>重み係数＝</v>
      </c>
      <c r="Y114" s="144">
        <f t="shared" si="5"/>
        <v>1</v>
      </c>
    </row>
    <row r="115" spans="1:26" ht="16.5" customHeight="1" thickBot="1">
      <c r="A115" s="133"/>
      <c r="B115" s="164"/>
      <c r="C115" s="617"/>
      <c r="D115" s="1049">
        <v>3</v>
      </c>
      <c r="E115" s="2391" t="s">
        <v>391</v>
      </c>
      <c r="F115" s="2392"/>
      <c r="G115" s="2392"/>
      <c r="H115" s="2392"/>
      <c r="I115" s="2392"/>
      <c r="J115" s="2392"/>
      <c r="K115" s="2392"/>
      <c r="L115" s="2392"/>
      <c r="M115" s="2393"/>
      <c r="N115" s="150"/>
      <c r="P115" s="144"/>
      <c r="R115" s="144"/>
      <c r="S115" s="144"/>
      <c r="T115" s="144"/>
      <c r="U115" s="144"/>
      <c r="V115" s="144"/>
      <c r="W115" s="144"/>
      <c r="X115" s="144"/>
      <c r="Y115" s="144"/>
    </row>
    <row r="116" spans="1:26" ht="16.5" customHeight="1">
      <c r="A116" s="133"/>
      <c r="B116" s="164"/>
      <c r="C116" s="607"/>
      <c r="D116" s="32" t="str">
        <f>IF(D115=$Q$14,$R$9,IF(ROUNDDOWN(D115,0)=$Q$9,$S$9,$R$9))</f>
        <v>　レベル　1</v>
      </c>
      <c r="E116" s="523" t="s">
        <v>311</v>
      </c>
      <c r="F116" s="49"/>
      <c r="G116" s="49"/>
      <c r="H116" s="49"/>
      <c r="I116" s="49"/>
      <c r="J116" s="49"/>
      <c r="K116" s="49"/>
      <c r="L116" s="950"/>
      <c r="M116" s="951"/>
      <c r="N116" s="150"/>
      <c r="P116" s="584">
        <f>$Q$9</f>
        <v>1</v>
      </c>
      <c r="R116" s="144"/>
      <c r="S116" s="144"/>
      <c r="T116" s="144"/>
      <c r="U116" s="584">
        <f>$Q$9</f>
        <v>1</v>
      </c>
      <c r="V116" s="144"/>
      <c r="W116" s="144"/>
      <c r="X116" s="144"/>
      <c r="Y116" s="144"/>
    </row>
    <row r="117" spans="1:26" ht="16.5" customHeight="1">
      <c r="A117" s="133"/>
      <c r="B117" s="164"/>
      <c r="C117" s="607"/>
      <c r="D117" s="35" t="str">
        <f>IF(D115=$Q$14,$R$10,IF(ROUNDDOWN(D115,0)=$Q$10,$S$10,$R$10))</f>
        <v>　レベル　2</v>
      </c>
      <c r="E117" s="523" t="s">
        <v>312</v>
      </c>
      <c r="F117" s="603"/>
      <c r="G117" s="603"/>
      <c r="H117" s="603"/>
      <c r="I117" s="603"/>
      <c r="J117" s="603"/>
      <c r="K117" s="603"/>
      <c r="L117" s="946"/>
      <c r="M117" s="947"/>
      <c r="N117" s="150"/>
      <c r="P117" s="584">
        <f>$Q$10</f>
        <v>2</v>
      </c>
      <c r="R117" s="144"/>
      <c r="S117" s="144"/>
      <c r="T117" s="144"/>
      <c r="U117" s="584">
        <f>$Q$10</f>
        <v>2</v>
      </c>
      <c r="V117" s="144"/>
      <c r="W117" s="144"/>
      <c r="X117" s="144"/>
      <c r="Y117" s="144"/>
      <c r="Z117" s="144"/>
    </row>
    <row r="118" spans="1:26" ht="16.5" customHeight="1">
      <c r="A118" s="133"/>
      <c r="B118" s="164"/>
      <c r="C118" s="607"/>
      <c r="D118" s="35" t="str">
        <f>IF(D115=$Q$14,$R$11,IF(ROUNDDOWN(D115,0)=$Q$11,$S$11,$R$11))</f>
        <v>■レベル　3</v>
      </c>
      <c r="E118" s="523" t="s">
        <v>313</v>
      </c>
      <c r="F118" s="582"/>
      <c r="G118" s="582"/>
      <c r="H118" s="582"/>
      <c r="I118" s="582"/>
      <c r="J118" s="582"/>
      <c r="K118" s="582"/>
      <c r="L118" s="946"/>
      <c r="M118" s="947"/>
      <c r="N118" s="150"/>
      <c r="P118" s="584">
        <f>$Q$11</f>
        <v>3</v>
      </c>
      <c r="R118" s="144"/>
      <c r="S118" s="144"/>
      <c r="T118" s="144"/>
      <c r="U118" s="584">
        <f>$Q$11</f>
        <v>3</v>
      </c>
      <c r="V118" s="144"/>
      <c r="W118" s="144"/>
      <c r="X118" s="144"/>
      <c r="Y118" s="144"/>
      <c r="Z118" s="144"/>
    </row>
    <row r="119" spans="1:26" ht="16.5" customHeight="1">
      <c r="A119" s="133"/>
      <c r="B119" s="164"/>
      <c r="C119" s="607"/>
      <c r="D119" s="35" t="str">
        <f>IF(D115=$Q$14,$R$12,IF(ROUNDDOWN(D115,0)=$Q$12,$S$12,$R$12))</f>
        <v>　レベル　4</v>
      </c>
      <c r="E119" s="535" t="s">
        <v>237</v>
      </c>
      <c r="F119" s="585"/>
      <c r="G119" s="585"/>
      <c r="H119" s="585"/>
      <c r="I119" s="585"/>
      <c r="J119" s="585"/>
      <c r="K119" s="585"/>
      <c r="L119" s="946"/>
      <c r="M119" s="947"/>
      <c r="N119" s="150"/>
      <c r="P119" s="584" t="s">
        <v>379</v>
      </c>
      <c r="R119" s="144"/>
      <c r="S119" s="144"/>
      <c r="T119" s="144"/>
      <c r="U119" s="584">
        <f>$Q$12</f>
        <v>4</v>
      </c>
      <c r="V119" s="144"/>
      <c r="W119" s="144"/>
      <c r="X119" s="144"/>
      <c r="Y119" s="144"/>
      <c r="Z119" s="144"/>
    </row>
    <row r="120" spans="1:26" ht="16.5" customHeight="1">
      <c r="A120" s="133"/>
      <c r="B120" s="164"/>
      <c r="C120" s="607"/>
      <c r="D120" s="33" t="str">
        <f>IF(D115=$Q$14,$R$13,IF(ROUNDDOWN(D115,0)=$Q$13,$S$13,$R$13))</f>
        <v>　レベル　5</v>
      </c>
      <c r="E120" s="561" t="s">
        <v>238</v>
      </c>
      <c r="F120" s="587"/>
      <c r="G120" s="587"/>
      <c r="H120" s="587"/>
      <c r="I120" s="587"/>
      <c r="J120" s="587"/>
      <c r="K120" s="587"/>
      <c r="L120" s="948"/>
      <c r="M120" s="949"/>
      <c r="N120" s="150"/>
      <c r="P120" s="584" t="s">
        <v>379</v>
      </c>
      <c r="R120" s="144"/>
      <c r="S120" s="144"/>
      <c r="T120" s="144"/>
      <c r="U120" s="584">
        <f>$Q$13</f>
        <v>5</v>
      </c>
      <c r="V120" s="144"/>
      <c r="W120" s="144"/>
      <c r="X120" s="144"/>
      <c r="Y120" s="144"/>
      <c r="Z120" s="144"/>
    </row>
    <row r="121" spans="1:26" ht="16.5" customHeight="1" thickBot="1">
      <c r="A121" s="133"/>
      <c r="B121" s="164"/>
      <c r="C121" s="607"/>
      <c r="D121" s="609"/>
      <c r="E121" s="1058" t="s">
        <v>360</v>
      </c>
      <c r="F121" s="415"/>
      <c r="G121" s="415"/>
      <c r="H121" s="415"/>
      <c r="I121" s="600"/>
      <c r="J121" s="600"/>
      <c r="K121" s="600"/>
      <c r="L121" s="600"/>
      <c r="M121" s="600"/>
      <c r="N121" s="150"/>
      <c r="P121" s="584" t="s">
        <v>60</v>
      </c>
      <c r="R121" s="144"/>
      <c r="S121" s="144"/>
      <c r="T121" s="144"/>
      <c r="U121" s="584" t="str">
        <f>$Q$14</f>
        <v>対象外</v>
      </c>
      <c r="V121" s="144"/>
      <c r="W121" s="144"/>
      <c r="X121" s="144"/>
      <c r="Y121" s="144"/>
      <c r="Z121" s="144"/>
    </row>
    <row r="122" spans="1:26" ht="24" customHeight="1" thickBot="1">
      <c r="A122" s="133"/>
      <c r="B122" s="164"/>
      <c r="C122" s="607"/>
      <c r="D122" s="609"/>
      <c r="E122" s="794"/>
      <c r="F122" s="512">
        <v>1</v>
      </c>
      <c r="G122" s="2400" t="s">
        <v>1125</v>
      </c>
      <c r="H122" s="2401"/>
      <c r="I122" s="2401"/>
      <c r="J122" s="2401"/>
      <c r="K122" s="2401"/>
      <c r="L122" s="2401"/>
      <c r="M122" s="2402"/>
      <c r="N122" s="150"/>
      <c r="P122" s="615"/>
      <c r="R122" s="144"/>
      <c r="S122" s="144"/>
      <c r="T122" s="144"/>
      <c r="U122" s="615"/>
      <c r="V122" s="144"/>
      <c r="W122" s="144"/>
      <c r="X122" s="144"/>
      <c r="Y122" s="144"/>
      <c r="Z122" s="144"/>
    </row>
    <row r="123" spans="1:26" ht="24" customHeight="1" thickBot="1">
      <c r="A123" s="133"/>
      <c r="B123" s="164"/>
      <c r="C123" s="607"/>
      <c r="D123" s="609"/>
      <c r="E123" s="794"/>
      <c r="F123" s="795">
        <v>2</v>
      </c>
      <c r="G123" s="2403" t="s">
        <v>1126</v>
      </c>
      <c r="H123" s="2404"/>
      <c r="I123" s="2404"/>
      <c r="J123" s="2404"/>
      <c r="K123" s="2404"/>
      <c r="L123" s="2404"/>
      <c r="M123" s="2405"/>
      <c r="N123" s="150"/>
      <c r="P123" s="615"/>
      <c r="R123" s="144"/>
      <c r="S123" s="144"/>
      <c r="T123" s="144"/>
      <c r="U123" s="615"/>
      <c r="V123" s="144"/>
      <c r="W123" s="144"/>
      <c r="X123" s="144"/>
      <c r="Y123" s="144"/>
      <c r="Z123" s="144"/>
    </row>
    <row r="124" spans="1:26" ht="16.5" customHeight="1">
      <c r="A124" s="133"/>
      <c r="B124" s="164"/>
      <c r="C124" s="607"/>
      <c r="D124" s="609"/>
      <c r="E124" s="806"/>
      <c r="F124" s="528"/>
      <c r="G124" s="528"/>
      <c r="H124" s="528"/>
      <c r="I124" s="528"/>
      <c r="J124" s="528"/>
      <c r="K124" s="528" t="s">
        <v>377</v>
      </c>
      <c r="L124" s="1057">
        <f>IF(COUNTIF(E122:E123,U4)&gt;1,2,IF(COUNTIF(E122:E123,U4)&gt;0,1,0))</f>
        <v>0</v>
      </c>
      <c r="M124" s="527" t="s">
        <v>378</v>
      </c>
      <c r="N124" s="150"/>
      <c r="P124" s="615"/>
      <c r="R124" s="144"/>
      <c r="S124" s="144"/>
      <c r="T124" s="144"/>
      <c r="U124" s="615"/>
      <c r="V124" s="144"/>
      <c r="W124" s="144"/>
      <c r="X124" s="144"/>
      <c r="Y124" s="144"/>
      <c r="Z124" s="144"/>
    </row>
    <row r="125" spans="1:26" s="144" customFormat="1" ht="8.25" customHeight="1">
      <c r="A125" s="51"/>
      <c r="B125" s="164"/>
      <c r="C125" s="607"/>
      <c r="D125" s="309"/>
      <c r="E125" s="309"/>
      <c r="F125" s="1"/>
      <c r="G125" s="1"/>
      <c r="H125" s="1"/>
      <c r="I125" s="1"/>
      <c r="J125" s="1"/>
      <c r="K125" s="1"/>
      <c r="L125" s="1"/>
      <c r="M125" s="1"/>
      <c r="N125" s="150"/>
      <c r="P125" s="584" t="s">
        <v>60</v>
      </c>
      <c r="Q125" s="324" t="s">
        <v>82</v>
      </c>
      <c r="R125" s="4"/>
      <c r="S125" s="4"/>
      <c r="T125" s="132"/>
    </row>
    <row r="126" spans="1:26" s="144" customFormat="1" ht="21" customHeight="1">
      <c r="A126" s="51"/>
      <c r="B126" s="164"/>
      <c r="C126" s="607"/>
      <c r="E126" s="781" t="s">
        <v>3</v>
      </c>
      <c r="F126" s="782"/>
      <c r="G126" s="1201"/>
      <c r="H126" s="1201"/>
      <c r="I126" s="2388"/>
      <c r="J126" s="2389"/>
      <c r="K126" s="2389"/>
      <c r="L126" s="2389"/>
      <c r="M126" s="2390"/>
      <c r="N126" s="150"/>
      <c r="P126" s="615"/>
      <c r="Q126" s="324"/>
      <c r="R126" s="4"/>
      <c r="S126" s="4"/>
      <c r="T126" s="132"/>
      <c r="U126" s="615"/>
      <c r="V126" s="132"/>
      <c r="W126" s="132"/>
      <c r="X126" s="132"/>
      <c r="Y126" s="132"/>
    </row>
    <row r="127" spans="1:26" s="144" customFormat="1" ht="16.5" customHeight="1" thickBot="1">
      <c r="A127" s="51"/>
      <c r="B127" s="164"/>
      <c r="C127" s="607"/>
      <c r="E127" s="152" t="s">
        <v>1001</v>
      </c>
      <c r="F127" s="417"/>
      <c r="G127" s="417"/>
      <c r="H127" s="417"/>
      <c r="I127" s="1786"/>
      <c r="J127" s="1860"/>
      <c r="K127" s="1860"/>
      <c r="L127" s="1860"/>
      <c r="M127" s="1860"/>
      <c r="N127" s="150"/>
      <c r="P127" s="1861"/>
      <c r="Q127" s="1862"/>
      <c r="R127" s="37"/>
      <c r="S127" s="37"/>
      <c r="U127" s="1861"/>
    </row>
    <row r="128" spans="1:26" s="144" customFormat="1" ht="21" customHeight="1" thickBot="1">
      <c r="A128" s="51"/>
      <c r="B128" s="164"/>
      <c r="C128" s="607"/>
      <c r="E128" s="1863" t="s">
        <v>1002</v>
      </c>
      <c r="F128" s="2410" t="s">
        <v>1004</v>
      </c>
      <c r="G128" s="2411"/>
      <c r="H128" s="2411"/>
      <c r="I128" s="2411"/>
      <c r="J128" s="2411"/>
      <c r="K128" s="2411"/>
      <c r="L128" s="2411"/>
      <c r="M128" s="2412"/>
      <c r="N128" s="150"/>
      <c r="P128" s="1861"/>
      <c r="Q128" s="1862"/>
      <c r="R128" s="37"/>
      <c r="S128" s="37"/>
      <c r="U128" s="1861"/>
    </row>
    <row r="129" spans="1:26" ht="9" customHeight="1">
      <c r="A129" s="133"/>
      <c r="B129" s="164"/>
      <c r="C129" s="607"/>
      <c r="D129" s="609"/>
      <c r="E129" s="415"/>
      <c r="F129" s="415"/>
      <c r="G129" s="415"/>
      <c r="H129" s="415"/>
      <c r="I129" s="600"/>
      <c r="J129" s="600"/>
      <c r="K129" s="600"/>
      <c r="L129" s="600"/>
      <c r="M129" s="600"/>
      <c r="N129" s="150"/>
      <c r="P129" s="615"/>
      <c r="R129" s="144"/>
      <c r="S129" s="144"/>
      <c r="T129" s="144"/>
      <c r="U129" s="615"/>
      <c r="V129" s="144"/>
      <c r="W129" s="144"/>
      <c r="X129" s="144"/>
      <c r="Y129" s="144"/>
      <c r="Z129" s="144"/>
    </row>
    <row r="130" spans="1:26" ht="19.5" customHeight="1">
      <c r="A130" s="133"/>
      <c r="B130" s="1061">
        <v>4</v>
      </c>
      <c r="C130" s="147" t="s">
        <v>485</v>
      </c>
      <c r="D130" s="147"/>
      <c r="E130" s="28"/>
      <c r="F130" s="28"/>
      <c r="G130" s="28"/>
      <c r="H130" s="28"/>
      <c r="I130" s="600"/>
      <c r="J130" s="600"/>
      <c r="K130" s="600"/>
      <c r="L130" s="600"/>
      <c r="M130" s="600"/>
      <c r="N130" s="150"/>
      <c r="O130" s="145"/>
      <c r="P130" s="145"/>
      <c r="Q130" s="145"/>
      <c r="R130" s="304"/>
      <c r="S130" s="304"/>
      <c r="T130" s="304"/>
    </row>
    <row r="131" spans="1:26" ht="16.5" customHeight="1" thickBot="1">
      <c r="A131" s="133"/>
      <c r="B131" s="164"/>
      <c r="C131" s="607"/>
      <c r="D131" s="487"/>
      <c r="E131" s="413"/>
      <c r="F131" s="148"/>
      <c r="G131" s="134"/>
      <c r="H131" s="134"/>
      <c r="I131" s="600"/>
      <c r="J131" s="600"/>
      <c r="K131" s="600"/>
      <c r="L131" s="176" t="s">
        <v>2</v>
      </c>
      <c r="M131" s="173">
        <f>重み!M28</f>
        <v>0.1</v>
      </c>
      <c r="N131" s="150"/>
      <c r="O131" s="144">
        <f t="shared" ref="O131:Y131" si="6">C131</f>
        <v>0</v>
      </c>
      <c r="P131" s="144">
        <f t="shared" si="6"/>
        <v>0</v>
      </c>
      <c r="Q131" s="144">
        <f t="shared" si="6"/>
        <v>0</v>
      </c>
      <c r="R131" s="144">
        <f t="shared" si="6"/>
        <v>0</v>
      </c>
      <c r="S131" s="144">
        <f t="shared" si="6"/>
        <v>0</v>
      </c>
      <c r="T131" s="144">
        <f t="shared" si="6"/>
        <v>0</v>
      </c>
      <c r="U131" s="144">
        <f t="shared" si="6"/>
        <v>0</v>
      </c>
      <c r="V131" s="144">
        <f t="shared" si="6"/>
        <v>0</v>
      </c>
      <c r="W131" s="144">
        <f t="shared" si="6"/>
        <v>0</v>
      </c>
      <c r="X131" s="144" t="str">
        <f t="shared" si="6"/>
        <v>重み係数＝</v>
      </c>
      <c r="Y131" s="144">
        <f t="shared" si="6"/>
        <v>0.1</v>
      </c>
    </row>
    <row r="132" spans="1:26" ht="16.5" customHeight="1" thickBot="1">
      <c r="A132" s="133"/>
      <c r="B132" s="164"/>
      <c r="C132" s="612"/>
      <c r="D132" s="1049">
        <v>3</v>
      </c>
      <c r="E132" s="2391" t="s">
        <v>391</v>
      </c>
      <c r="F132" s="2392"/>
      <c r="G132" s="2392"/>
      <c r="H132" s="2392"/>
      <c r="I132" s="2392"/>
      <c r="J132" s="2392"/>
      <c r="K132" s="2392"/>
      <c r="L132" s="2392"/>
      <c r="M132" s="2393"/>
      <c r="N132" s="150"/>
      <c r="P132" s="144"/>
      <c r="R132" s="144"/>
      <c r="S132" s="144"/>
      <c r="T132" s="144"/>
      <c r="U132" s="144"/>
      <c r="V132" s="144"/>
      <c r="W132" s="144"/>
      <c r="X132" s="144"/>
      <c r="Y132" s="144"/>
    </row>
    <row r="133" spans="1:26" ht="16.5" customHeight="1">
      <c r="A133" s="133"/>
      <c r="B133" s="164"/>
      <c r="C133" s="613"/>
      <c r="D133" s="32" t="str">
        <f>IF(D132=$Q$14,$R$9,IF(AND($M$3=$Y$3,ROUNDDOWN(D132,0)=$Q$9),$S$9,$R$9))</f>
        <v>　レベル　1</v>
      </c>
      <c r="E133" s="522" t="s">
        <v>383</v>
      </c>
      <c r="F133" s="580"/>
      <c r="G133" s="580"/>
      <c r="H133" s="580"/>
      <c r="I133" s="580"/>
      <c r="J133" s="580"/>
      <c r="K133" s="580"/>
      <c r="L133" s="580"/>
      <c r="M133" s="581"/>
      <c r="N133" s="150"/>
      <c r="P133" s="584" t="s">
        <v>91</v>
      </c>
      <c r="Q133" s="144"/>
      <c r="R133" s="144"/>
      <c r="S133" s="144"/>
      <c r="T133" s="144"/>
      <c r="U133" s="584">
        <f>$Q$9</f>
        <v>1</v>
      </c>
      <c r="V133" s="144"/>
      <c r="W133" s="144"/>
      <c r="X133" s="144"/>
      <c r="Y133" s="144"/>
    </row>
    <row r="134" spans="1:26" ht="16.5" customHeight="1">
      <c r="A134" s="133"/>
      <c r="B134" s="164"/>
      <c r="C134" s="613"/>
      <c r="D134" s="35" t="str">
        <f>IF(D132=$Q$14,$R$10,IF(AND($M$3=$Y$3,ROUNDDOWN(D132,0)=$Q$10),$S$10,$R$10))</f>
        <v>　レベル　2</v>
      </c>
      <c r="E134" s="523" t="s">
        <v>383</v>
      </c>
      <c r="F134" s="582"/>
      <c r="G134" s="582"/>
      <c r="H134" s="582"/>
      <c r="I134" s="582"/>
      <c r="J134" s="582"/>
      <c r="K134" s="582"/>
      <c r="L134" s="582"/>
      <c r="M134" s="583"/>
      <c r="N134" s="150"/>
      <c r="P134" s="584" t="s">
        <v>797</v>
      </c>
      <c r="Q134" s="144"/>
      <c r="R134" s="144"/>
      <c r="S134" s="144"/>
      <c r="T134" s="144"/>
      <c r="U134" s="584">
        <f>$Q$10</f>
        <v>2</v>
      </c>
      <c r="V134" s="144"/>
      <c r="W134" s="144"/>
      <c r="X134" s="144"/>
      <c r="Y134" s="144"/>
    </row>
    <row r="135" spans="1:26" ht="16.5" customHeight="1">
      <c r="A135" s="133"/>
      <c r="B135" s="164"/>
      <c r="C135" s="613"/>
      <c r="D135" s="35" t="str">
        <f>IF(D132=$Q$14,$R$11,IF(AND($M$3=$Y$3,ROUNDDOWN(D132,0)=$Q$11),$S$11,$R$11))</f>
        <v>■レベル　3</v>
      </c>
      <c r="E135" s="523" t="s">
        <v>314</v>
      </c>
      <c r="F135" s="582"/>
      <c r="G135" s="582"/>
      <c r="H135" s="582"/>
      <c r="I135" s="582"/>
      <c r="J135" s="582"/>
      <c r="K135" s="582"/>
      <c r="L135" s="582"/>
      <c r="M135" s="583"/>
      <c r="N135" s="150"/>
      <c r="P135" s="584">
        <f>$Q$11</f>
        <v>3</v>
      </c>
      <c r="Q135" s="144"/>
      <c r="R135" s="144"/>
      <c r="S135" s="144"/>
      <c r="T135" s="144"/>
      <c r="U135" s="584">
        <f>$Q$11</f>
        <v>3</v>
      </c>
      <c r="V135" s="144"/>
      <c r="W135" s="144"/>
      <c r="X135" s="144"/>
      <c r="Y135" s="144"/>
    </row>
    <row r="136" spans="1:26" ht="16.5" customHeight="1">
      <c r="A136" s="133"/>
      <c r="B136" s="164"/>
      <c r="C136" s="613"/>
      <c r="D136" s="35" t="str">
        <f>IF(D132=$Q$14,$R$12,IF(AND($M$3=$Y$3,ROUNDDOWN(D132,0)=$Q$12),$S$12,$R$12))</f>
        <v>　レベル　4</v>
      </c>
      <c r="E136" s="535" t="s">
        <v>315</v>
      </c>
      <c r="F136" s="585"/>
      <c r="G136" s="585"/>
      <c r="H136" s="585"/>
      <c r="I136" s="585"/>
      <c r="J136" s="585"/>
      <c r="K136" s="585"/>
      <c r="L136" s="585"/>
      <c r="M136" s="586"/>
      <c r="N136" s="150"/>
      <c r="P136" s="584">
        <f>$Q$12</f>
        <v>4</v>
      </c>
      <c r="Q136" s="144"/>
      <c r="R136" s="144"/>
      <c r="S136" s="144"/>
      <c r="T136" s="144"/>
      <c r="U136" s="584">
        <f>$Q$12</f>
        <v>4</v>
      </c>
      <c r="V136" s="144"/>
      <c r="W136" s="144"/>
      <c r="X136" s="144"/>
      <c r="Y136" s="144"/>
    </row>
    <row r="137" spans="1:26" ht="16.5" customHeight="1">
      <c r="A137" s="133"/>
      <c r="B137" s="164"/>
      <c r="C137" s="613"/>
      <c r="D137" s="33" t="str">
        <f>IF(D132=$Q$14,$R$13,IF(AND($M$3=$Y$3,ROUNDDOWN(D132,0)=$Q$13),$S$13,$R$13))</f>
        <v>　レベル　5</v>
      </c>
      <c r="E137" s="561" t="s">
        <v>316</v>
      </c>
      <c r="F137" s="587"/>
      <c r="G137" s="587"/>
      <c r="H137" s="587"/>
      <c r="I137" s="587"/>
      <c r="J137" s="587"/>
      <c r="K137" s="587"/>
      <c r="L137" s="587"/>
      <c r="M137" s="588"/>
      <c r="N137" s="150"/>
      <c r="P137" s="584">
        <f>$Q$13</f>
        <v>5</v>
      </c>
      <c r="Q137" s="144"/>
      <c r="R137" s="144"/>
      <c r="S137" s="144"/>
      <c r="T137" s="144"/>
      <c r="U137" s="584">
        <f>$Q$13</f>
        <v>5</v>
      </c>
      <c r="V137" s="144"/>
      <c r="W137" s="144"/>
      <c r="X137" s="144"/>
      <c r="Y137" s="144"/>
    </row>
    <row r="138" spans="1:26" s="144" customFormat="1" ht="8.25" customHeight="1">
      <c r="A138" s="51"/>
      <c r="B138" s="164"/>
      <c r="C138" s="607"/>
      <c r="D138" s="309"/>
      <c r="E138" s="309"/>
      <c r="F138" s="1"/>
      <c r="G138" s="1"/>
      <c r="H138" s="1"/>
      <c r="I138" s="1"/>
      <c r="J138" s="1"/>
      <c r="K138" s="1"/>
      <c r="L138" s="1"/>
      <c r="M138" s="1"/>
      <c r="N138" s="150"/>
      <c r="P138" s="584" t="s">
        <v>60</v>
      </c>
      <c r="Q138" s="324" t="s">
        <v>82</v>
      </c>
      <c r="R138" s="4"/>
      <c r="S138" s="4"/>
      <c r="T138" s="132"/>
    </row>
    <row r="139" spans="1:26" s="144" customFormat="1" ht="21" customHeight="1">
      <c r="A139" s="51"/>
      <c r="B139" s="164"/>
      <c r="C139" s="607"/>
      <c r="E139" s="781" t="s">
        <v>3</v>
      </c>
      <c r="F139" s="782"/>
      <c r="G139" s="1201"/>
      <c r="H139" s="1201"/>
      <c r="I139" s="2388"/>
      <c r="J139" s="2389"/>
      <c r="K139" s="2389"/>
      <c r="L139" s="2389"/>
      <c r="M139" s="2390"/>
      <c r="N139" s="150"/>
      <c r="P139" s="615"/>
      <c r="Q139" s="324"/>
      <c r="R139" s="4"/>
      <c r="S139" s="4"/>
      <c r="T139" s="132"/>
      <c r="U139" s="615"/>
      <c r="V139" s="132"/>
      <c r="W139" s="132"/>
      <c r="X139" s="132"/>
      <c r="Y139" s="132"/>
    </row>
    <row r="140" spans="1:26">
      <c r="I140" s="620"/>
      <c r="J140" s="620"/>
      <c r="K140" s="620"/>
      <c r="L140" s="620"/>
      <c r="M140" s="620"/>
    </row>
    <row r="141" spans="1:26">
      <c r="I141" s="621"/>
      <c r="J141" s="621"/>
      <c r="K141" s="621"/>
      <c r="L141" s="621"/>
      <c r="M141" s="621"/>
    </row>
    <row r="142" spans="1:26" hidden="1">
      <c r="I142" s="621"/>
      <c r="J142" s="621"/>
      <c r="K142" s="621"/>
      <c r="L142" s="621"/>
      <c r="M142" s="621"/>
    </row>
    <row r="143" spans="1:26" hidden="1"/>
    <row r="144" spans="1:26"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row r="166"/>
  </sheetData>
  <sheetProtection password="CC47" sheet="1" objects="1" scenarios="1"/>
  <mergeCells count="31">
    <mergeCell ref="I25:M25"/>
    <mergeCell ref="I38:M38"/>
    <mergeCell ref="I48:M48"/>
    <mergeCell ref="I59:M59"/>
    <mergeCell ref="I71:M71"/>
    <mergeCell ref="I139:M139"/>
    <mergeCell ref="G122:M122"/>
    <mergeCell ref="G123:M123"/>
    <mergeCell ref="E132:M132"/>
    <mergeCell ref="E90:M90"/>
    <mergeCell ref="E91:M91"/>
    <mergeCell ref="E115:M115"/>
    <mergeCell ref="E97:M97"/>
    <mergeCell ref="G108:M108"/>
    <mergeCell ref="F128:M128"/>
    <mergeCell ref="L1:M1"/>
    <mergeCell ref="I82:M82"/>
    <mergeCell ref="I93:M93"/>
    <mergeCell ref="I110:M110"/>
    <mergeCell ref="I126:M126"/>
    <mergeCell ref="E8:M8"/>
    <mergeCell ref="E18:M18"/>
    <mergeCell ref="E31:M31"/>
    <mergeCell ref="E41:M41"/>
    <mergeCell ref="E89:M89"/>
    <mergeCell ref="E52:M52"/>
    <mergeCell ref="E64:M64"/>
    <mergeCell ref="E75:M75"/>
    <mergeCell ref="E86:M86"/>
    <mergeCell ref="F27:M27"/>
    <mergeCell ref="I15:M15"/>
  </mergeCells>
  <phoneticPr fontId="4"/>
  <conditionalFormatting sqref="D64 D75 D86 D115 D132 D8 D18 D31 D52 D41">
    <cfRule type="expression" dxfId="144" priority="23" stopIfTrue="1">
      <formula>AND(OR(D8&lt;1,D8&gt;5),D8&lt;&gt;P14)</formula>
    </cfRule>
    <cfRule type="expression" dxfId="143" priority="24" stopIfTrue="1">
      <formula>M7&gt;0</formula>
    </cfRule>
  </conditionalFormatting>
  <conditionalFormatting sqref="E122:E123">
    <cfRule type="expression" dxfId="142" priority="25" stopIfTrue="1">
      <formula>$M$7&gt;0</formula>
    </cfRule>
  </conditionalFormatting>
  <conditionalFormatting sqref="I15 I25 I38 I48 I59 I71 I82 I93 I139">
    <cfRule type="expression" dxfId="141" priority="28" stopIfTrue="1">
      <formula>M7&gt;0</formula>
    </cfRule>
  </conditionalFormatting>
  <conditionalFormatting sqref="I126">
    <cfRule type="expression" dxfId="140" priority="45" stopIfTrue="1">
      <formula>M114&gt;0</formula>
    </cfRule>
  </conditionalFormatting>
  <conditionalFormatting sqref="E104:E108">
    <cfRule type="expression" dxfId="139" priority="18" stopIfTrue="1">
      <formula>$M$7&gt;0</formula>
    </cfRule>
  </conditionalFormatting>
  <conditionalFormatting sqref="I110">
    <cfRule type="expression" dxfId="138" priority="22" stopIfTrue="1">
      <formula>M96&gt;0</formula>
    </cfRule>
  </conditionalFormatting>
  <conditionalFormatting sqref="D114">
    <cfRule type="expression" dxfId="137" priority="80" stopIfTrue="1">
      <formula>AND(OR(D114&lt;1,D114&gt;5),D114&lt;&gt;U87)</formula>
    </cfRule>
    <cfRule type="expression" dxfId="136" priority="81" stopIfTrue="1">
      <formula>M113&gt;0</formula>
    </cfRule>
  </conditionalFormatting>
  <conditionalFormatting sqref="J26">
    <cfRule type="expression" dxfId="135" priority="8" stopIfTrue="1">
      <formula>M18&gt;0</formula>
    </cfRule>
  </conditionalFormatting>
  <conditionalFormatting sqref="K26">
    <cfRule type="expression" dxfId="134" priority="9" stopIfTrue="1">
      <formula>M18&gt;0</formula>
    </cfRule>
  </conditionalFormatting>
  <conditionalFormatting sqref="L26">
    <cfRule type="expression" dxfId="133" priority="10" stopIfTrue="1">
      <formula>M18&gt;0</formula>
    </cfRule>
  </conditionalFormatting>
  <conditionalFormatting sqref="M26">
    <cfRule type="expression" dxfId="132" priority="11" stopIfTrue="1">
      <formula>M18&gt;0</formula>
    </cfRule>
  </conditionalFormatting>
  <conditionalFormatting sqref="E27">
    <cfRule type="expression" dxfId="131" priority="7" stopIfTrue="1">
      <formula>M17&gt;0</formula>
    </cfRule>
  </conditionalFormatting>
  <conditionalFormatting sqref="I127">
    <cfRule type="expression" dxfId="130" priority="2" stopIfTrue="1">
      <formula>M119&gt;0</formula>
    </cfRule>
  </conditionalFormatting>
  <conditionalFormatting sqref="J127">
    <cfRule type="expression" dxfId="129" priority="3" stopIfTrue="1">
      <formula>M119&gt;0</formula>
    </cfRule>
  </conditionalFormatting>
  <conditionalFormatting sqref="K127">
    <cfRule type="expression" dxfId="128" priority="4" stopIfTrue="1">
      <formula>M119&gt;0</formula>
    </cfRule>
  </conditionalFormatting>
  <conditionalFormatting sqref="L127">
    <cfRule type="expression" dxfId="127" priority="5" stopIfTrue="1">
      <formula>M119&gt;0</formula>
    </cfRule>
  </conditionalFormatting>
  <conditionalFormatting sqref="M127">
    <cfRule type="expression" dxfId="126" priority="6" stopIfTrue="1">
      <formula>M119&gt;0</formula>
    </cfRule>
  </conditionalFormatting>
  <conditionalFormatting sqref="E128">
    <cfRule type="expression" dxfId="125" priority="1" stopIfTrue="1">
      <formula>M114&gt;0</formula>
    </cfRule>
  </conditionalFormatting>
  <dataValidations count="6">
    <dataValidation type="list" allowBlank="1" showInputMessage="1" sqref="D86 D115 D8 D75 D64 D31 D52 D132 D18 D41">
      <formula1>P9:P14</formula1>
    </dataValidation>
    <dataValidation type="textLength" operator="lessThanOrEqual" allowBlank="1" showInputMessage="1" showErrorMessage="1" sqref="F93:H93 WVN26:WVP26 F71:H71 F15:H15 F110:H110 F38:H38 F48:H48 F59:H59 F82:H82 F139:H139 F25:H2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F126:H127 JB127:JD127 SX127:SZ127 ACT127:ACV127 AMP127:AMR127 AWL127:AWN127 BGH127:BGJ127 BQD127:BQF127 BZZ127:CAB127 CJV127:CJX127 CTR127:CTT127 DDN127:DDP127 DNJ127:DNL127 DXF127:DXH127 EHB127:EHD127 EQX127:EQZ127 FAT127:FAV127 FKP127:FKR127 FUL127:FUN127 GEH127:GEJ127 GOD127:GOF127 GXZ127:GYB127 HHV127:HHX127 HRR127:HRT127 IBN127:IBP127 ILJ127:ILL127 IVF127:IVH127 JFB127:JFD127 JOX127:JOZ127 JYT127:JYV127 KIP127:KIR127 KSL127:KSN127 LCH127:LCJ127 LMD127:LMF127 LVZ127:LWB127 MFV127:MFX127 MPR127:MPT127 MZN127:MZP127 NJJ127:NJL127 NTF127:NTH127 ODB127:ODD127 OMX127:OMZ127 OWT127:OWV127 PGP127:PGR127 PQL127:PQN127 QAH127:QAJ127 QKD127:QKF127 QTZ127:QUB127 RDV127:RDX127 RNR127:RNT127 RXN127:RXP127 SHJ127:SHL127 SRF127:SRH127 TBB127:TBD127 TKX127:TKZ127 TUT127:TUV127 UEP127:UER127 UOL127:UON127 UYH127:UYJ127 VID127:VIF127 VRZ127:VSB127 WBV127:WBX127 WLR127:WLT127 WVN127:WVP127">
      <formula1>30</formula1>
    </dataValidation>
    <dataValidation type="list" allowBlank="1" showInputMessage="1" showErrorMessage="1" sqref="E122:E123 E104:E108">
      <formula1>$U$3:$U$4</formula1>
    </dataValidation>
    <dataValidation allowBlank="1" showInputMessage="1" sqref="D114 D97"/>
    <dataValidation type="textLength" operator="lessThanOrEqual" allowBlank="1" showInputMessage="1" showErrorMessage="1" sqref="I15 I110 I38 I48 I59 I71 I82 I93 WVQ26 I139 I25: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I126:I127 JE127 TA127 ACW127 AMS127 AWO127 BGK127 BQG127 CAC127 CJY127 CTU127 DDQ127 DNM127 DXI127 EHE127 ERA127 FAW127 FKS127 FUO127 GEK127 GOG127 GYC127 HHY127 HRU127 IBQ127 ILM127 IVI127 JFE127 JPA127 JYW127 KIS127 KSO127 LCK127 LMG127 LWC127 MFY127 MPU127 MZQ127 NJM127 NTI127 ODE127 ONA127 OWW127 PGS127 PQO127 QAK127 QKG127 QUC127 RDY127 RNU127 RXQ127 SHM127 SRI127 TBE127 TLA127 TUW127 UES127 UOO127 UYK127 VIG127 VSC127 WBY127 WLU127 WVQ127">
      <formula1>35</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128 JA128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formula1>"○,　"</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3" manualBreakCount="3">
    <brk id="60" max="13" man="1"/>
    <brk id="111" max="13" man="1"/>
    <brk id="140" max="13" man="1"/>
  </rowBreaks>
</worksheet>
</file>

<file path=xl/worksheets/sheet7.xml><?xml version="1.0" encoding="utf-8"?>
<worksheet xmlns="http://schemas.openxmlformats.org/spreadsheetml/2006/main" xmlns:r="http://schemas.openxmlformats.org/officeDocument/2006/relationships">
  <sheetPr codeName="Sheet8">
    <pageSetUpPr autoPageBreaks="0" fitToPage="1"/>
  </sheetPr>
  <dimension ref="A1:Y192"/>
  <sheetViews>
    <sheetView showGridLines="0" zoomScaleNormal="90" workbookViewId="0">
      <selection activeCell="I36" sqref="I36"/>
    </sheetView>
  </sheetViews>
  <sheetFormatPr defaultColWidth="0" defaultRowHeight="15.75" zeroHeight="1"/>
  <cols>
    <col min="1" max="1" width="1.375" style="4" customWidth="1"/>
    <col min="2" max="2" width="4.5" style="618" customWidth="1"/>
    <col min="3" max="3" width="1.5" style="4" customWidth="1"/>
    <col min="4" max="4" width="11.125" style="4" customWidth="1"/>
    <col min="5" max="11" width="11.125" style="300" customWidth="1"/>
    <col min="12" max="12" width="11.5" style="300" customWidth="1"/>
    <col min="13" max="13" width="11.125" style="300" customWidth="1"/>
    <col min="14" max="14" width="2.875" style="4" customWidth="1"/>
    <col min="15" max="15" width="15.875" style="4" hidden="1" customWidth="1"/>
    <col min="16" max="16" width="30.625" style="4" hidden="1" customWidth="1"/>
    <col min="17" max="17" width="12.875" style="4" hidden="1" customWidth="1"/>
    <col min="18" max="18" width="10" style="4" hidden="1" customWidth="1"/>
    <col min="19" max="19" width="14.875" style="4" hidden="1" customWidth="1"/>
    <col min="20" max="20" width="6" style="4" hidden="1" customWidth="1"/>
    <col min="21" max="21" width="7.5" style="4" hidden="1" customWidth="1"/>
    <col min="22" max="22" width="2.25" style="4" hidden="1" customWidth="1"/>
    <col min="23" max="23" width="3.625" style="4" hidden="1" customWidth="1"/>
    <col min="24" max="24" width="9.625" style="4" hidden="1" customWidth="1"/>
    <col min="25" max="25" width="11.5" style="4" hidden="1" customWidth="1"/>
    <col min="26" max="16384" width="2" style="4" hidden="1"/>
  </cols>
  <sheetData>
    <row r="1" spans="1:25" s="144" customFormat="1" ht="22.5" customHeight="1">
      <c r="A1" s="51"/>
      <c r="B1" s="164"/>
      <c r="C1" s="150"/>
      <c r="D1" s="155"/>
      <c r="E1" s="51"/>
      <c r="F1" s="51"/>
      <c r="G1" s="51"/>
      <c r="H1" s="51"/>
      <c r="I1" s="51"/>
      <c r="J1" s="51"/>
      <c r="K1" s="1047" t="s">
        <v>342</v>
      </c>
      <c r="L1" s="2387">
        <f>メイン!C10</f>
        <v>0</v>
      </c>
      <c r="M1" s="2387"/>
      <c r="N1" s="150"/>
      <c r="O1" s="142"/>
      <c r="P1" s="142"/>
      <c r="Q1" s="142"/>
    </row>
    <row r="2" spans="1:25" s="144" customFormat="1" ht="9" customHeight="1" thickBot="1">
      <c r="A2" s="51"/>
      <c r="B2" s="164"/>
      <c r="C2" s="150"/>
      <c r="D2" s="155"/>
      <c r="E2" s="51"/>
      <c r="F2" s="51"/>
      <c r="G2" s="51"/>
      <c r="H2" s="51"/>
      <c r="I2" s="51"/>
      <c r="J2" s="51"/>
      <c r="K2" s="1046"/>
      <c r="L2" s="360"/>
      <c r="M2" s="47"/>
      <c r="N2" s="150"/>
      <c r="O2" s="142"/>
      <c r="P2" s="142"/>
      <c r="Q2" s="142"/>
    </row>
    <row r="3" spans="1:25" ht="21.75" thickBot="1">
      <c r="A3" s="1"/>
      <c r="B3" s="308" t="s">
        <v>967</v>
      </c>
      <c r="C3" s="27"/>
      <c r="D3" s="26"/>
      <c r="E3" s="51"/>
      <c r="F3" s="51"/>
      <c r="H3" s="146"/>
      <c r="I3" s="52" t="s">
        <v>1104</v>
      </c>
      <c r="J3" s="28"/>
      <c r="K3" s="51"/>
      <c r="L3" s="51"/>
      <c r="M3" s="155"/>
      <c r="N3" s="1"/>
      <c r="O3" s="130"/>
      <c r="P3" s="315" t="s">
        <v>83</v>
      </c>
      <c r="Q3" s="130"/>
      <c r="R3" s="144"/>
      <c r="T3" s="412" t="s">
        <v>86</v>
      </c>
      <c r="U3" s="416" t="s">
        <v>87</v>
      </c>
      <c r="V3" s="144"/>
      <c r="W3" s="412"/>
      <c r="X3" s="144"/>
      <c r="Y3" s="412" t="str">
        <f>メイン!N31</f>
        <v>基本設計段階</v>
      </c>
    </row>
    <row r="4" spans="1:25" ht="6" customHeight="1">
      <c r="A4" s="1"/>
      <c r="B4" s="164"/>
      <c r="C4" s="27"/>
      <c r="D4" s="26"/>
      <c r="E4" s="51"/>
      <c r="F4" s="51"/>
      <c r="G4" s="47"/>
      <c r="H4" s="51"/>
      <c r="I4" s="28"/>
      <c r="J4" s="28"/>
      <c r="K4" s="51"/>
      <c r="L4" s="51"/>
      <c r="M4" s="51"/>
      <c r="N4" s="1"/>
      <c r="O4" s="144"/>
      <c r="P4" s="144"/>
      <c r="Q4" s="144"/>
      <c r="R4" s="144"/>
      <c r="T4" s="412" t="s">
        <v>88</v>
      </c>
      <c r="U4" s="412"/>
      <c r="V4" s="144"/>
      <c r="W4" s="412" t="s">
        <v>89</v>
      </c>
      <c r="X4" s="144"/>
      <c r="Y4" s="412" t="str">
        <f>メイン!N32</f>
        <v>実施設計段階</v>
      </c>
    </row>
    <row r="5" spans="1:25" s="325" customFormat="1" ht="14.25" customHeight="1">
      <c r="A5" s="23"/>
      <c r="B5" s="164">
        <v>1</v>
      </c>
      <c r="C5" s="30" t="s">
        <v>540</v>
      </c>
      <c r="D5" s="30"/>
      <c r="E5" s="147"/>
      <c r="F5" s="147"/>
      <c r="G5" s="147"/>
      <c r="H5" s="147"/>
      <c r="I5" s="147"/>
      <c r="J5" s="147"/>
      <c r="K5" s="147"/>
      <c r="L5" s="147"/>
      <c r="M5" s="147"/>
      <c r="N5" s="23"/>
      <c r="O5" s="175"/>
      <c r="P5" s="175"/>
      <c r="Q5" s="175"/>
      <c r="R5" s="175"/>
      <c r="S5" s="175"/>
      <c r="T5" s="175"/>
      <c r="U5" s="175"/>
      <c r="V5" s="175"/>
      <c r="W5" s="175"/>
      <c r="X5" s="175"/>
      <c r="Y5" s="412" t="str">
        <f>メイン!N33</f>
        <v>竣工段階</v>
      </c>
    </row>
    <row r="6" spans="1:25" s="325" customFormat="1" ht="14.25" customHeight="1">
      <c r="A6" s="23"/>
      <c r="B6" s="1063">
        <v>1.1000000000000001</v>
      </c>
      <c r="C6" s="30" t="s">
        <v>487</v>
      </c>
      <c r="D6" s="30"/>
      <c r="E6" s="310"/>
      <c r="F6" s="147"/>
      <c r="G6" s="147"/>
      <c r="H6" s="147"/>
      <c r="I6" s="147"/>
      <c r="J6" s="147"/>
      <c r="K6" s="147"/>
      <c r="L6" s="147"/>
      <c r="M6" s="147"/>
      <c r="N6" s="23"/>
      <c r="O6" s="175"/>
      <c r="Q6" s="175"/>
      <c r="R6" s="175"/>
      <c r="S6" s="175"/>
      <c r="T6" s="175"/>
      <c r="U6" s="175"/>
      <c r="V6" s="175"/>
      <c r="W6" s="175"/>
      <c r="X6" s="175"/>
      <c r="Y6" s="144">
        <f>メイン!N30</f>
        <v>0</v>
      </c>
    </row>
    <row r="7" spans="1:25" ht="16.5" customHeight="1" thickBot="1">
      <c r="A7" s="1"/>
      <c r="B7" s="164"/>
      <c r="C7" s="28"/>
      <c r="D7" s="136"/>
      <c r="E7" s="310"/>
      <c r="F7" s="148"/>
      <c r="G7" s="134"/>
      <c r="H7" s="134"/>
      <c r="I7" s="147"/>
      <c r="J7" s="147"/>
      <c r="K7" s="147"/>
      <c r="L7" s="176" t="s">
        <v>2</v>
      </c>
      <c r="M7" s="48">
        <f>重み!M31</f>
        <v>0.3</v>
      </c>
      <c r="N7" s="1"/>
      <c r="O7" s="144">
        <f>C7</f>
        <v>0</v>
      </c>
      <c r="P7" s="144">
        <f>D7</f>
        <v>0</v>
      </c>
      <c r="Q7" s="144">
        <f>E7</f>
        <v>0</v>
      </c>
      <c r="R7" s="144">
        <f>F7</f>
        <v>0</v>
      </c>
      <c r="S7" s="144" t="str">
        <f>L7</f>
        <v>重み係数＝</v>
      </c>
      <c r="T7" s="144">
        <f>M7</f>
        <v>0.3</v>
      </c>
      <c r="U7" s="144">
        <f>I7</f>
        <v>0</v>
      </c>
      <c r="V7" s="144">
        <f>J7</f>
        <v>0</v>
      </c>
      <c r="W7" s="144">
        <f>K7</f>
        <v>0</v>
      </c>
      <c r="X7" s="144" t="str">
        <f>L7</f>
        <v>重み係数＝</v>
      </c>
      <c r="Y7" s="144">
        <f>M7</f>
        <v>0.3</v>
      </c>
    </row>
    <row r="8" spans="1:25" ht="16.5" customHeight="1" thickBot="1">
      <c r="A8" s="1"/>
      <c r="B8" s="164"/>
      <c r="C8" s="28"/>
      <c r="D8" s="1049">
        <v>3</v>
      </c>
      <c r="E8" s="2391" t="s">
        <v>391</v>
      </c>
      <c r="F8" s="2392"/>
      <c r="G8" s="2392"/>
      <c r="H8" s="2392"/>
      <c r="I8" s="2392"/>
      <c r="J8" s="2392"/>
      <c r="K8" s="2392"/>
      <c r="L8" s="2392"/>
      <c r="M8" s="2393"/>
      <c r="N8" s="1"/>
      <c r="O8" s="142"/>
      <c r="P8" s="144"/>
      <c r="Q8" s="142"/>
      <c r="R8" s="144"/>
      <c r="S8" s="144"/>
      <c r="T8" s="144"/>
      <c r="U8" s="144"/>
      <c r="V8" s="144"/>
      <c r="W8" s="144"/>
      <c r="X8" s="144"/>
      <c r="Y8" s="144"/>
    </row>
    <row r="9" spans="1:25" ht="16.5" customHeight="1">
      <c r="A9" s="1"/>
      <c r="B9" s="164"/>
      <c r="C9" s="28"/>
      <c r="D9" s="32" t="str">
        <f>IF(D8=$Q$14,$R$9,IF(ROUNDDOWN(D8,0)=$Q$9,$S$9,$R$9))</f>
        <v>　レベル　1</v>
      </c>
      <c r="E9" s="522" t="s">
        <v>383</v>
      </c>
      <c r="F9" s="520"/>
      <c r="G9" s="520"/>
      <c r="H9" s="520"/>
      <c r="I9" s="520"/>
      <c r="J9" s="520"/>
      <c r="K9" s="520"/>
      <c r="L9" s="520"/>
      <c r="M9" s="521"/>
      <c r="N9" s="1"/>
      <c r="O9" s="144"/>
      <c r="P9" s="584" t="s">
        <v>60</v>
      </c>
      <c r="Q9" s="316">
        <v>1</v>
      </c>
      <c r="R9" s="319" t="s">
        <v>459</v>
      </c>
      <c r="S9" s="317" t="s">
        <v>77</v>
      </c>
      <c r="T9" s="144"/>
      <c r="U9" s="584">
        <f>$Q$9</f>
        <v>1</v>
      </c>
      <c r="V9" s="144"/>
      <c r="W9" s="144"/>
      <c r="X9" s="144"/>
      <c r="Y9" s="144"/>
    </row>
    <row r="10" spans="1:25" ht="16.5" customHeight="1">
      <c r="A10" s="1"/>
      <c r="B10" s="164"/>
      <c r="C10" s="28"/>
      <c r="D10" s="35" t="str">
        <f>IF(D8=$Q$14,$R$10,IF(ROUNDDOWN(D8,0)=$Q$10,$S$10,$R$10))</f>
        <v>　レベル　2</v>
      </c>
      <c r="E10" s="523" t="s">
        <v>383</v>
      </c>
      <c r="F10" s="513"/>
      <c r="G10" s="513"/>
      <c r="H10" s="513"/>
      <c r="I10" s="513"/>
      <c r="J10" s="513"/>
      <c r="K10" s="513"/>
      <c r="L10" s="513"/>
      <c r="M10" s="514"/>
      <c r="N10" s="1"/>
      <c r="O10" s="144"/>
      <c r="P10" s="584" t="s">
        <v>791</v>
      </c>
      <c r="Q10" s="316">
        <v>2</v>
      </c>
      <c r="R10" s="319" t="s">
        <v>460</v>
      </c>
      <c r="S10" s="317" t="s">
        <v>78</v>
      </c>
      <c r="T10" s="144"/>
      <c r="U10" s="584">
        <f>$Q$10</f>
        <v>2</v>
      </c>
      <c r="V10" s="144"/>
      <c r="W10" s="144"/>
      <c r="X10" s="144"/>
      <c r="Y10" s="144"/>
    </row>
    <row r="11" spans="1:25" ht="16.5" customHeight="1">
      <c r="A11" s="1"/>
      <c r="B11" s="164"/>
      <c r="C11" s="28"/>
      <c r="D11" s="35" t="str">
        <f>IF(D8=$Q$14,$R$11,IF(ROUNDDOWN(D8,0)=$Q$11,$S$11,$R$11))</f>
        <v>■レベル　3</v>
      </c>
      <c r="E11" s="523" t="s">
        <v>634</v>
      </c>
      <c r="F11" s="513"/>
      <c r="G11" s="513"/>
      <c r="H11" s="513"/>
      <c r="I11" s="513"/>
      <c r="J11" s="513"/>
      <c r="K11" s="513"/>
      <c r="L11" s="513"/>
      <c r="M11" s="514"/>
      <c r="N11" s="1"/>
      <c r="O11" s="144"/>
      <c r="P11" s="584">
        <f>$Q$11</f>
        <v>3</v>
      </c>
      <c r="Q11" s="316">
        <v>3</v>
      </c>
      <c r="R11" s="319" t="s">
        <v>461</v>
      </c>
      <c r="S11" s="317" t="s">
        <v>79</v>
      </c>
      <c r="T11" s="144"/>
      <c r="U11" s="584">
        <f>$Q$11</f>
        <v>3</v>
      </c>
      <c r="V11" s="144"/>
      <c r="W11" s="144"/>
      <c r="X11" s="144"/>
      <c r="Y11" s="144"/>
    </row>
    <row r="12" spans="1:25" ht="16.5" customHeight="1">
      <c r="A12" s="1"/>
      <c r="B12" s="164"/>
      <c r="C12" s="28"/>
      <c r="D12" s="35" t="str">
        <f>IF(D8=$Q$14,$R$12,IF(ROUNDDOWN(D8,0)=$Q$12,$S$12,$R$12))</f>
        <v>　レベル　4</v>
      </c>
      <c r="E12" s="2417" t="s">
        <v>635</v>
      </c>
      <c r="F12" s="2418"/>
      <c r="G12" s="2418"/>
      <c r="H12" s="2418"/>
      <c r="I12" s="2418"/>
      <c r="J12" s="2418"/>
      <c r="K12" s="2418"/>
      <c r="L12" s="2418"/>
      <c r="M12" s="2419"/>
      <c r="N12" s="1"/>
      <c r="O12" s="144"/>
      <c r="P12" s="584">
        <f>$Q$12</f>
        <v>4</v>
      </c>
      <c r="Q12" s="316">
        <v>4</v>
      </c>
      <c r="R12" s="319" t="s">
        <v>462</v>
      </c>
      <c r="S12" s="317" t="s">
        <v>80</v>
      </c>
      <c r="T12" s="144"/>
      <c r="U12" s="584">
        <f>$Q$12</f>
        <v>4</v>
      </c>
      <c r="V12" s="144"/>
      <c r="W12" s="144"/>
      <c r="X12" s="144"/>
      <c r="Y12" s="144"/>
    </row>
    <row r="13" spans="1:25" ht="16.5" customHeight="1">
      <c r="A13" s="1"/>
      <c r="B13" s="164"/>
      <c r="C13" s="28"/>
      <c r="D13" s="33" t="str">
        <f>IF(D8=$Q$14,$R$13,IF(ROUNDDOWN(D8,0)=$Q$13,$S$13,$R$13))</f>
        <v>　レベル　5</v>
      </c>
      <c r="E13" s="2414" t="s">
        <v>1142</v>
      </c>
      <c r="F13" s="2420"/>
      <c r="G13" s="2420"/>
      <c r="H13" s="2420"/>
      <c r="I13" s="2420"/>
      <c r="J13" s="2420"/>
      <c r="K13" s="2420"/>
      <c r="L13" s="2420"/>
      <c r="M13" s="2421"/>
      <c r="N13" s="1"/>
      <c r="O13" s="144"/>
      <c r="P13" s="584">
        <f>$Q$13</f>
        <v>5</v>
      </c>
      <c r="Q13" s="316">
        <v>5</v>
      </c>
      <c r="R13" s="319" t="s">
        <v>463</v>
      </c>
      <c r="S13" s="317" t="s">
        <v>81</v>
      </c>
      <c r="T13" s="144"/>
      <c r="U13" s="584">
        <f>$Q$13</f>
        <v>5</v>
      </c>
      <c r="V13" s="144"/>
      <c r="W13" s="144"/>
      <c r="X13" s="144"/>
      <c r="Y13" s="144"/>
    </row>
    <row r="14" spans="1:25" s="144" customFormat="1" ht="8.25" customHeight="1">
      <c r="A14" s="51"/>
      <c r="B14" s="164"/>
      <c r="C14" s="607"/>
      <c r="D14" s="309"/>
      <c r="E14" s="309"/>
      <c r="F14" s="1"/>
      <c r="G14" s="1"/>
      <c r="H14" s="1"/>
      <c r="I14" s="1"/>
      <c r="J14" s="1"/>
      <c r="K14" s="1"/>
      <c r="L14" s="1"/>
      <c r="M14" s="1"/>
      <c r="N14" s="150"/>
      <c r="P14" s="584" t="s">
        <v>60</v>
      </c>
      <c r="Q14" s="324" t="s">
        <v>82</v>
      </c>
      <c r="R14" s="4"/>
      <c r="S14" s="4"/>
      <c r="T14" s="132"/>
    </row>
    <row r="15" spans="1:25" s="144" customFormat="1" ht="21" customHeight="1">
      <c r="A15" s="51"/>
      <c r="B15" s="164"/>
      <c r="C15" s="607"/>
      <c r="E15" s="781" t="s">
        <v>3</v>
      </c>
      <c r="F15" s="782"/>
      <c r="G15" s="1201"/>
      <c r="H15" s="1201"/>
      <c r="I15" s="2388"/>
      <c r="J15" s="2389"/>
      <c r="K15" s="2389"/>
      <c r="L15" s="2389"/>
      <c r="M15" s="2390"/>
      <c r="N15" s="150"/>
      <c r="P15" s="615"/>
      <c r="Q15" s="324"/>
      <c r="R15" s="4"/>
      <c r="S15" s="4"/>
      <c r="T15" s="132"/>
      <c r="U15" s="615"/>
      <c r="V15" s="132"/>
      <c r="W15" s="132"/>
      <c r="X15" s="132"/>
      <c r="Y15" s="132"/>
    </row>
    <row r="16" spans="1:25" ht="14.25" customHeight="1">
      <c r="A16" s="1"/>
      <c r="B16" s="164"/>
      <c r="C16" s="28"/>
      <c r="D16" s="26"/>
      <c r="E16" s="610"/>
      <c r="F16" s="134"/>
      <c r="G16" s="134"/>
      <c r="H16" s="51"/>
      <c r="I16" s="147"/>
      <c r="J16" s="147"/>
      <c r="K16" s="147"/>
      <c r="L16" s="147"/>
      <c r="M16" s="147"/>
      <c r="N16" s="1"/>
      <c r="O16" s="144"/>
      <c r="P16" s="615"/>
      <c r="Q16" s="625"/>
      <c r="T16" s="144"/>
      <c r="U16" s="615"/>
      <c r="V16" s="144"/>
      <c r="W16" s="144"/>
      <c r="X16" s="144"/>
      <c r="Y16" s="144"/>
    </row>
    <row r="17" spans="1:25" ht="19.5" customHeight="1">
      <c r="A17" s="1"/>
      <c r="B17" s="1063">
        <v>1.2</v>
      </c>
      <c r="C17" s="30" t="s">
        <v>538</v>
      </c>
      <c r="D17" s="30"/>
      <c r="E17" s="51"/>
      <c r="F17" s="51"/>
      <c r="G17" s="51"/>
      <c r="H17" s="51"/>
      <c r="I17" s="51"/>
      <c r="J17" s="51"/>
      <c r="K17" s="51"/>
      <c r="L17" s="51"/>
      <c r="M17" s="51"/>
      <c r="N17" s="1"/>
      <c r="O17" s="144"/>
      <c r="P17" s="380"/>
      <c r="Q17" s="474"/>
      <c r="R17" s="474"/>
      <c r="S17" s="474"/>
      <c r="T17" s="144"/>
      <c r="U17" s="380"/>
      <c r="V17" s="144"/>
      <c r="W17" s="144"/>
      <c r="X17" s="144"/>
      <c r="Y17" s="144"/>
    </row>
    <row r="18" spans="1:25" ht="19.5" customHeight="1" thickBot="1">
      <c r="A18" s="1"/>
      <c r="B18" s="473"/>
      <c r="C18" s="30"/>
      <c r="D18" s="30"/>
      <c r="E18" s="51"/>
      <c r="F18" s="51"/>
      <c r="G18" s="51"/>
      <c r="H18" s="51"/>
      <c r="I18" s="51"/>
      <c r="J18" s="51"/>
      <c r="K18" s="51"/>
      <c r="L18" s="51"/>
      <c r="M18" s="51"/>
      <c r="N18" s="1"/>
      <c r="O18" s="144"/>
      <c r="P18" s="380"/>
      <c r="Q18" s="474"/>
      <c r="R18" s="474"/>
      <c r="S18" s="474"/>
      <c r="T18" s="144"/>
      <c r="U18" s="380"/>
      <c r="V18" s="144"/>
      <c r="W18" s="144"/>
      <c r="X18" s="144"/>
      <c r="Y18" s="144"/>
    </row>
    <row r="19" spans="1:25" ht="16.5" customHeight="1" thickBot="1">
      <c r="A19" s="1"/>
      <c r="B19" s="26"/>
      <c r="C19" s="26"/>
      <c r="D19" s="1051">
        <f>IF(D20+L30&lt;=5,D20+L30,5)</f>
        <v>3</v>
      </c>
      <c r="E19" s="413"/>
      <c r="F19" s="148"/>
      <c r="G19" s="5"/>
      <c r="H19" s="5"/>
      <c r="I19" s="51"/>
      <c r="J19" s="51"/>
      <c r="K19" s="51"/>
      <c r="L19" s="176" t="s">
        <v>2</v>
      </c>
      <c r="M19" s="48">
        <f>重み!M32</f>
        <v>0.1</v>
      </c>
      <c r="N19" s="1"/>
      <c r="O19" s="144">
        <f t="shared" ref="O19:Y19" si="0">C19</f>
        <v>0</v>
      </c>
      <c r="P19" s="144">
        <f t="shared" si="0"/>
        <v>3</v>
      </c>
      <c r="Q19" s="144">
        <f t="shared" si="0"/>
        <v>0</v>
      </c>
      <c r="R19" s="144">
        <f t="shared" si="0"/>
        <v>0</v>
      </c>
      <c r="S19" s="144">
        <f t="shared" si="0"/>
        <v>0</v>
      </c>
      <c r="T19" s="144">
        <f t="shared" si="0"/>
        <v>0</v>
      </c>
      <c r="U19" s="144">
        <f t="shared" si="0"/>
        <v>0</v>
      </c>
      <c r="V19" s="144">
        <f t="shared" si="0"/>
        <v>0</v>
      </c>
      <c r="W19" s="144">
        <f t="shared" si="0"/>
        <v>0</v>
      </c>
      <c r="X19" s="144" t="str">
        <f t="shared" si="0"/>
        <v>重み係数＝</v>
      </c>
      <c r="Y19" s="144">
        <f t="shared" si="0"/>
        <v>0.1</v>
      </c>
    </row>
    <row r="20" spans="1:25" ht="16.5" customHeight="1" thickBot="1">
      <c r="A20" s="1"/>
      <c r="B20" s="26"/>
      <c r="C20" s="26"/>
      <c r="D20" s="1049">
        <v>3</v>
      </c>
      <c r="E20" s="2391" t="s">
        <v>391</v>
      </c>
      <c r="F20" s="2392"/>
      <c r="G20" s="2392"/>
      <c r="H20" s="2392"/>
      <c r="I20" s="2392"/>
      <c r="J20" s="2392"/>
      <c r="K20" s="2392"/>
      <c r="L20" s="2392"/>
      <c r="M20" s="2393"/>
      <c r="N20" s="1"/>
      <c r="O20" s="142"/>
      <c r="P20" s="144"/>
      <c r="Q20" s="142"/>
      <c r="R20" s="144"/>
      <c r="S20" s="144"/>
      <c r="T20" s="144"/>
      <c r="U20" s="144"/>
      <c r="V20" s="144"/>
      <c r="W20" s="144"/>
      <c r="X20" s="144"/>
      <c r="Y20" s="144"/>
    </row>
    <row r="21" spans="1:25" ht="16.5" customHeight="1">
      <c r="A21" s="1"/>
      <c r="B21" s="26"/>
      <c r="C21" s="26"/>
      <c r="D21" s="32" t="str">
        <f>IF(D20=$Q$14,$R$9,IF(ROUNDDOWN(D20,0)=$Q$9,$S$9,$R$9))</f>
        <v>　レベル　1</v>
      </c>
      <c r="E21" s="523" t="s">
        <v>790</v>
      </c>
      <c r="F21" s="49"/>
      <c r="G21" s="49"/>
      <c r="H21" s="49"/>
      <c r="I21" s="49"/>
      <c r="J21" s="49"/>
      <c r="K21" s="49"/>
      <c r="L21" s="950"/>
      <c r="M21" s="951"/>
      <c r="N21" s="1"/>
      <c r="O21" s="142"/>
      <c r="P21" s="584">
        <f>$Q$9</f>
        <v>1</v>
      </c>
      <c r="Q21" s="142"/>
      <c r="R21" s="144"/>
      <c r="S21" s="144"/>
      <c r="T21" s="144"/>
      <c r="U21" s="584">
        <f>$Q$9</f>
        <v>1</v>
      </c>
      <c r="V21" s="144"/>
      <c r="W21" s="144"/>
      <c r="X21" s="144"/>
      <c r="Y21" s="144"/>
    </row>
    <row r="22" spans="1:25" ht="16.5" customHeight="1">
      <c r="A22" s="1"/>
      <c r="B22" s="164"/>
      <c r="C22" s="26"/>
      <c r="D22" s="35" t="str">
        <f>IF(D20=$Q$14,$R$10,IF(ROUNDDOWN(D20,0)=$Q$10,$S$10,$R$10))</f>
        <v>　レベル　2</v>
      </c>
      <c r="E22" s="523" t="s">
        <v>541</v>
      </c>
      <c r="F22" s="603"/>
      <c r="G22" s="603"/>
      <c r="H22" s="603"/>
      <c r="I22" s="603"/>
      <c r="J22" s="603"/>
      <c r="K22" s="603"/>
      <c r="L22" s="946"/>
      <c r="M22" s="947"/>
      <c r="N22" s="1"/>
      <c r="O22" s="142"/>
      <c r="P22" s="584">
        <f>$Q$10</f>
        <v>2</v>
      </c>
      <c r="Q22" s="142"/>
      <c r="R22" s="144"/>
      <c r="S22" s="144"/>
      <c r="T22" s="144"/>
      <c r="U22" s="584">
        <f>$Q$10</f>
        <v>2</v>
      </c>
      <c r="V22" s="144"/>
      <c r="W22" s="144"/>
      <c r="X22" s="144"/>
      <c r="Y22" s="144"/>
    </row>
    <row r="23" spans="1:25" ht="16.5" customHeight="1">
      <c r="A23" s="1"/>
      <c r="B23" s="164"/>
      <c r="C23" s="26"/>
      <c r="D23" s="35" t="str">
        <f>IF(D20=$Q$14,$R$11,IF(ROUNDDOWN(D20,0)=$Q$11,$S$11,$R$11))</f>
        <v>■レベル　3</v>
      </c>
      <c r="E23" s="523" t="s">
        <v>542</v>
      </c>
      <c r="F23" s="582"/>
      <c r="G23" s="582"/>
      <c r="H23" s="582"/>
      <c r="I23" s="582"/>
      <c r="J23" s="582"/>
      <c r="K23" s="582"/>
      <c r="L23" s="946"/>
      <c r="M23" s="947"/>
      <c r="N23" s="1"/>
      <c r="O23" s="142"/>
      <c r="P23" s="584">
        <f>$Q$11</f>
        <v>3</v>
      </c>
      <c r="Q23" s="142"/>
      <c r="R23" s="144"/>
      <c r="S23" s="144"/>
      <c r="T23" s="144"/>
      <c r="U23" s="584">
        <f>$Q$11</f>
        <v>3</v>
      </c>
      <c r="V23" s="144"/>
      <c r="W23" s="144"/>
      <c r="X23" s="144"/>
      <c r="Y23" s="144"/>
    </row>
    <row r="24" spans="1:25">
      <c r="A24" s="1"/>
      <c r="B24" s="164"/>
      <c r="C24" s="26"/>
      <c r="D24" s="35" t="str">
        <f>IF(D20=$Q$14,$R$12,IF(ROUNDDOWN(D20,0)=$Q$12,$S$12,$R$12))</f>
        <v>　レベル　4</v>
      </c>
      <c r="E24" s="535" t="s">
        <v>543</v>
      </c>
      <c r="F24" s="585"/>
      <c r="G24" s="585"/>
      <c r="H24" s="585"/>
      <c r="I24" s="585"/>
      <c r="J24" s="585"/>
      <c r="K24" s="585"/>
      <c r="L24" s="946"/>
      <c r="M24" s="947"/>
      <c r="N24" s="1"/>
      <c r="O24" s="142"/>
      <c r="P24" s="584">
        <f>$Q$12</f>
        <v>4</v>
      </c>
      <c r="Q24" s="142"/>
      <c r="R24" s="144"/>
      <c r="S24" s="144"/>
      <c r="T24" s="144"/>
      <c r="U24" s="584">
        <f>$Q$12</f>
        <v>4</v>
      </c>
      <c r="V24" s="144"/>
      <c r="W24" s="144"/>
      <c r="X24" s="144"/>
      <c r="Y24" s="144"/>
    </row>
    <row r="25" spans="1:25">
      <c r="A25" s="1"/>
      <c r="B25" s="164"/>
      <c r="C25" s="26"/>
      <c r="D25" s="33" t="str">
        <f>IF(D20=$Q$14,$R$13,IF(ROUNDDOWN(D20,0)=$Q$13,$S$13,$R$13))</f>
        <v>　レベル　5</v>
      </c>
      <c r="E25" s="561" t="s">
        <v>237</v>
      </c>
      <c r="F25" s="587"/>
      <c r="G25" s="587"/>
      <c r="H25" s="587"/>
      <c r="I25" s="587"/>
      <c r="J25" s="587"/>
      <c r="K25" s="587"/>
      <c r="L25" s="948"/>
      <c r="M25" s="949"/>
      <c r="N25" s="1"/>
      <c r="O25" s="142"/>
      <c r="P25" s="584" t="s">
        <v>379</v>
      </c>
      <c r="Q25" s="142"/>
      <c r="R25" s="144"/>
      <c r="S25" s="144"/>
      <c r="T25" s="144"/>
      <c r="U25" s="584">
        <f>$Q$13</f>
        <v>5</v>
      </c>
      <c r="V25" s="144"/>
      <c r="W25" s="144"/>
      <c r="X25" s="144"/>
      <c r="Y25" s="144"/>
    </row>
    <row r="26" spans="1:25" ht="16.5" thickBot="1">
      <c r="A26" s="1"/>
      <c r="B26" s="164"/>
      <c r="C26" s="26"/>
      <c r="D26" s="26"/>
      <c r="E26" s="1058" t="s">
        <v>360</v>
      </c>
      <c r="F26" s="51"/>
      <c r="G26" s="51"/>
      <c r="H26" s="51"/>
      <c r="I26" s="51"/>
      <c r="J26" s="51"/>
      <c r="K26" s="51"/>
      <c r="L26" s="51"/>
      <c r="M26" s="51"/>
      <c r="N26" s="1"/>
      <c r="O26" s="142"/>
      <c r="P26" s="584" t="s">
        <v>60</v>
      </c>
      <c r="Q26" s="142"/>
      <c r="R26" s="144"/>
      <c r="S26" s="144"/>
      <c r="T26" s="144"/>
      <c r="U26" s="584" t="str">
        <f>$Q$14</f>
        <v>対象外</v>
      </c>
      <c r="V26" s="144"/>
      <c r="W26" s="144"/>
      <c r="X26" s="144"/>
      <c r="Y26" s="144"/>
    </row>
    <row r="27" spans="1:25" ht="24" customHeight="1">
      <c r="A27" s="1"/>
      <c r="B27" s="164"/>
      <c r="C27" s="26"/>
      <c r="D27" s="26"/>
      <c r="E27" s="742"/>
      <c r="F27" s="512" t="s">
        <v>4</v>
      </c>
      <c r="G27" s="2400" t="s">
        <v>1127</v>
      </c>
      <c r="H27" s="2401"/>
      <c r="I27" s="2401"/>
      <c r="J27" s="2401"/>
      <c r="K27" s="2401"/>
      <c r="L27" s="2401"/>
      <c r="M27" s="2402"/>
      <c r="N27" s="1"/>
      <c r="O27" s="142"/>
      <c r="P27" s="615"/>
      <c r="Q27" s="142"/>
      <c r="R27" s="144"/>
      <c r="S27" s="144"/>
      <c r="T27" s="144"/>
      <c r="U27" s="615"/>
      <c r="V27" s="144"/>
      <c r="W27" s="144"/>
      <c r="X27" s="144"/>
      <c r="Y27" s="144"/>
    </row>
    <row r="28" spans="1:25" ht="24" customHeight="1">
      <c r="A28" s="1"/>
      <c r="B28" s="164"/>
      <c r="C28" s="26"/>
      <c r="D28" s="26"/>
      <c r="E28" s="533"/>
      <c r="F28" s="548" t="s">
        <v>5</v>
      </c>
      <c r="G28" s="2394" t="s">
        <v>1128</v>
      </c>
      <c r="H28" s="2395"/>
      <c r="I28" s="2395"/>
      <c r="J28" s="2395"/>
      <c r="K28" s="2395"/>
      <c r="L28" s="2395"/>
      <c r="M28" s="2396"/>
      <c r="N28" s="1"/>
      <c r="O28" s="142"/>
      <c r="P28" s="615"/>
      <c r="Q28" s="142"/>
      <c r="R28" s="144"/>
      <c r="S28" s="144"/>
      <c r="T28" s="144"/>
      <c r="U28" s="615"/>
      <c r="V28" s="144"/>
      <c r="W28" s="144"/>
      <c r="X28" s="144"/>
      <c r="Y28" s="144"/>
    </row>
    <row r="29" spans="1:25" ht="16.5" thickBot="1">
      <c r="A29" s="1"/>
      <c r="B29" s="164"/>
      <c r="C29" s="26"/>
      <c r="D29" s="26"/>
      <c r="E29" s="571"/>
      <c r="F29" s="795" t="s">
        <v>6</v>
      </c>
      <c r="G29" s="561" t="s">
        <v>1129</v>
      </c>
      <c r="H29" s="543"/>
      <c r="I29" s="543"/>
      <c r="J29" s="543"/>
      <c r="K29" s="543"/>
      <c r="L29" s="543"/>
      <c r="M29" s="789"/>
      <c r="N29" s="1"/>
      <c r="O29" s="142"/>
      <c r="P29" s="615"/>
      <c r="Q29" s="142"/>
      <c r="R29" s="144"/>
      <c r="S29" s="144"/>
      <c r="T29" s="144"/>
      <c r="U29" s="615"/>
      <c r="V29" s="144"/>
      <c r="W29" s="144"/>
      <c r="X29" s="144"/>
      <c r="Y29" s="144"/>
    </row>
    <row r="30" spans="1:25" ht="16.5" customHeight="1">
      <c r="A30" s="1"/>
      <c r="B30" s="164"/>
      <c r="C30" s="26"/>
      <c r="D30" s="26"/>
      <c r="E30" s="806"/>
      <c r="F30" s="528"/>
      <c r="G30" s="528"/>
      <c r="H30" s="528"/>
      <c r="I30" s="528"/>
      <c r="J30" s="528"/>
      <c r="K30" s="528" t="s">
        <v>377</v>
      </c>
      <c r="L30" s="1057">
        <f>IF(COUNTIF(E27:E29,U3)&gt;0,1,0)</f>
        <v>0</v>
      </c>
      <c r="M30" s="527" t="s">
        <v>378</v>
      </c>
      <c r="N30" s="1"/>
      <c r="O30" s="142"/>
      <c r="P30" s="615"/>
      <c r="Q30" s="142"/>
      <c r="R30" s="144"/>
      <c r="S30" s="144"/>
      <c r="T30" s="144"/>
      <c r="U30" s="615"/>
      <c r="V30" s="144"/>
      <c r="W30" s="144"/>
      <c r="X30" s="144"/>
      <c r="Y30" s="144"/>
    </row>
    <row r="31" spans="1:25" s="144" customFormat="1" ht="8.25" customHeight="1">
      <c r="A31" s="51"/>
      <c r="B31" s="164"/>
      <c r="C31" s="607"/>
      <c r="D31" s="309"/>
      <c r="E31" s="309"/>
      <c r="F31" s="1"/>
      <c r="G31" s="1"/>
      <c r="H31" s="1"/>
      <c r="I31" s="1"/>
      <c r="J31" s="1"/>
      <c r="K31" s="1"/>
      <c r="L31" s="1"/>
      <c r="M31" s="1"/>
      <c r="N31" s="150"/>
      <c r="P31" s="584" t="s">
        <v>60</v>
      </c>
      <c r="Q31" s="324" t="s">
        <v>82</v>
      </c>
      <c r="R31" s="4"/>
      <c r="S31" s="4"/>
      <c r="T31" s="132"/>
    </row>
    <row r="32" spans="1:25" s="144" customFormat="1" ht="21" customHeight="1">
      <c r="A32" s="51"/>
      <c r="B32" s="164"/>
      <c r="C32" s="607"/>
      <c r="E32" s="781" t="s">
        <v>3</v>
      </c>
      <c r="F32" s="782"/>
      <c r="G32" s="1201"/>
      <c r="H32" s="1201"/>
      <c r="I32" s="2388"/>
      <c r="J32" s="2389"/>
      <c r="K32" s="2389"/>
      <c r="L32" s="2389"/>
      <c r="M32" s="2390"/>
      <c r="N32" s="150"/>
      <c r="P32" s="615"/>
      <c r="Q32" s="324"/>
      <c r="R32" s="4"/>
      <c r="S32" s="4"/>
      <c r="T32" s="132"/>
      <c r="U32" s="615"/>
      <c r="V32" s="132"/>
      <c r="W32" s="132"/>
      <c r="X32" s="132"/>
      <c r="Y32" s="132"/>
    </row>
    <row r="33" spans="1:25" s="144" customFormat="1" ht="16.5" customHeight="1" thickBot="1">
      <c r="A33" s="51"/>
      <c r="B33" s="164"/>
      <c r="C33" s="607"/>
      <c r="E33" s="152" t="s">
        <v>1001</v>
      </c>
      <c r="F33" s="417"/>
      <c r="G33" s="417"/>
      <c r="H33" s="417"/>
      <c r="I33" s="1786"/>
      <c r="J33" s="1860"/>
      <c r="K33" s="1860"/>
      <c r="L33" s="1860"/>
      <c r="M33" s="1860"/>
      <c r="N33" s="150"/>
      <c r="P33" s="1861"/>
      <c r="Q33" s="1862"/>
      <c r="R33" s="37"/>
      <c r="S33" s="37"/>
      <c r="U33" s="1861"/>
    </row>
    <row r="34" spans="1:25" s="144" customFormat="1" ht="60.75" customHeight="1" thickBot="1">
      <c r="A34" s="51"/>
      <c r="B34" s="164"/>
      <c r="C34" s="607"/>
      <c r="E34" s="1863" t="s">
        <v>1002</v>
      </c>
      <c r="F34" s="2413" t="s">
        <v>1005</v>
      </c>
      <c r="G34" s="2411"/>
      <c r="H34" s="2411"/>
      <c r="I34" s="2411"/>
      <c r="J34" s="2411"/>
      <c r="K34" s="2411"/>
      <c r="L34" s="2411"/>
      <c r="M34" s="2412"/>
      <c r="N34" s="150"/>
      <c r="P34" s="1861"/>
      <c r="Q34" s="1862"/>
      <c r="R34" s="37"/>
      <c r="S34" s="37"/>
      <c r="U34" s="1861"/>
    </row>
    <row r="35" spans="1:25">
      <c r="A35" s="1"/>
      <c r="B35" s="164"/>
      <c r="C35" s="26"/>
      <c r="D35" s="26"/>
      <c r="E35" s="606"/>
      <c r="F35" s="51"/>
      <c r="G35" s="51"/>
      <c r="H35" s="51"/>
      <c r="I35" s="51"/>
      <c r="J35" s="51"/>
      <c r="K35" s="51"/>
      <c r="L35" s="51"/>
      <c r="M35" s="51"/>
      <c r="N35" s="1"/>
      <c r="O35" s="142"/>
      <c r="P35" s="615"/>
      <c r="Q35" s="142"/>
      <c r="R35" s="144"/>
      <c r="S35" s="144"/>
      <c r="T35" s="144"/>
      <c r="U35" s="615"/>
      <c r="V35" s="144"/>
      <c r="W35" s="144"/>
      <c r="X35" s="144"/>
      <c r="Y35" s="144"/>
    </row>
    <row r="36" spans="1:25" ht="17.25" customHeight="1">
      <c r="A36" s="1"/>
      <c r="B36" s="1063">
        <v>1.3</v>
      </c>
      <c r="C36" s="30" t="s">
        <v>1130</v>
      </c>
      <c r="D36" s="30"/>
      <c r="E36" s="51"/>
      <c r="F36" s="51"/>
      <c r="G36" s="51"/>
      <c r="H36" s="51"/>
      <c r="I36" s="51"/>
      <c r="J36" s="51"/>
      <c r="K36" s="51"/>
      <c r="L36" s="51"/>
      <c r="M36" s="51"/>
      <c r="N36" s="1"/>
      <c r="O36" s="142"/>
      <c r="P36" s="380"/>
      <c r="Q36" s="142"/>
      <c r="R36" s="144"/>
      <c r="S36" s="144"/>
      <c r="T36" s="144"/>
      <c r="U36" s="380"/>
      <c r="V36" s="144"/>
      <c r="W36" s="144"/>
      <c r="X36" s="144"/>
      <c r="Y36" s="144"/>
    </row>
    <row r="37" spans="1:25" ht="17.25" customHeight="1" thickBot="1">
      <c r="A37" s="1"/>
      <c r="B37" s="1063"/>
      <c r="C37" s="30"/>
      <c r="D37" s="30"/>
      <c r="E37" s="51"/>
      <c r="F37" s="51"/>
      <c r="G37" s="51"/>
      <c r="H37" s="51"/>
      <c r="I37" s="51"/>
      <c r="J37" s="51"/>
      <c r="K37" s="51"/>
      <c r="L37" s="51"/>
      <c r="M37" s="51"/>
      <c r="N37" s="1"/>
      <c r="O37" s="142"/>
      <c r="P37" s="380"/>
      <c r="Q37" s="142"/>
      <c r="R37" s="144"/>
      <c r="S37" s="144"/>
      <c r="T37" s="144"/>
      <c r="U37" s="380"/>
      <c r="V37" s="144"/>
      <c r="W37" s="144"/>
      <c r="X37" s="144"/>
      <c r="Y37" s="144"/>
    </row>
    <row r="38" spans="1:25" ht="16.5" customHeight="1" thickBot="1">
      <c r="A38" s="1"/>
      <c r="B38" s="164"/>
      <c r="C38" s="26"/>
      <c r="D38" s="1051">
        <f>IF(D39+L51&lt;=5,D39+L51,5)</f>
        <v>2</v>
      </c>
      <c r="E38" s="413"/>
      <c r="F38" s="148"/>
      <c r="G38" s="5"/>
      <c r="H38" s="5"/>
      <c r="I38" s="51"/>
      <c r="J38" s="51"/>
      <c r="K38" s="51"/>
      <c r="L38" s="176" t="s">
        <v>2</v>
      </c>
      <c r="M38" s="48">
        <f>重み!M33</f>
        <v>0.1</v>
      </c>
      <c r="N38" s="1"/>
      <c r="O38" s="144">
        <f t="shared" ref="O38:Y38" si="1">C38</f>
        <v>0</v>
      </c>
      <c r="P38" s="144">
        <f>D38</f>
        <v>2</v>
      </c>
      <c r="Q38" s="144">
        <f t="shared" si="1"/>
        <v>0</v>
      </c>
      <c r="R38" s="144">
        <f t="shared" si="1"/>
        <v>0</v>
      </c>
      <c r="S38" s="144">
        <f t="shared" si="1"/>
        <v>0</v>
      </c>
      <c r="T38" s="144">
        <f t="shared" si="1"/>
        <v>0</v>
      </c>
      <c r="U38" s="144">
        <f t="shared" si="1"/>
        <v>0</v>
      </c>
      <c r="V38" s="144">
        <f t="shared" si="1"/>
        <v>0</v>
      </c>
      <c r="W38" s="144">
        <f t="shared" si="1"/>
        <v>0</v>
      </c>
      <c r="X38" s="144" t="str">
        <f t="shared" si="1"/>
        <v>重み係数＝</v>
      </c>
      <c r="Y38" s="144">
        <f t="shared" si="1"/>
        <v>0.1</v>
      </c>
    </row>
    <row r="39" spans="1:25" ht="16.5" customHeight="1" thickBot="1">
      <c r="A39" s="1"/>
      <c r="B39" s="164"/>
      <c r="C39" s="26"/>
      <c r="D39" s="1050">
        <v>2</v>
      </c>
      <c r="E39" s="2391" t="s">
        <v>391</v>
      </c>
      <c r="F39" s="2392"/>
      <c r="G39" s="2392"/>
      <c r="H39" s="2392"/>
      <c r="I39" s="2392"/>
      <c r="J39" s="2392"/>
      <c r="K39" s="2392"/>
      <c r="L39" s="2392"/>
      <c r="M39" s="2393"/>
      <c r="N39" s="1"/>
      <c r="O39" s="142"/>
      <c r="P39" s="144"/>
      <c r="Q39" s="142"/>
      <c r="R39" s="144"/>
      <c r="S39" s="144"/>
      <c r="T39" s="144"/>
      <c r="U39" s="144"/>
      <c r="V39" s="144"/>
      <c r="W39" s="144"/>
      <c r="X39" s="144"/>
      <c r="Y39" s="144"/>
    </row>
    <row r="40" spans="1:25" ht="16.5" customHeight="1">
      <c r="A40" s="1"/>
      <c r="B40" s="164"/>
      <c r="C40" s="26"/>
      <c r="D40" s="32" t="str">
        <f>IF(D39=$Q$14,$R$9,IF(ROUNDDOWN(D39,0)=$Q$9,$S$9,$R$9))</f>
        <v>　レベル　1</v>
      </c>
      <c r="E40" s="166" t="s">
        <v>790</v>
      </c>
      <c r="F40" s="49"/>
      <c r="G40" s="49"/>
      <c r="H40" s="49"/>
      <c r="I40" s="49"/>
      <c r="J40" s="49"/>
      <c r="K40" s="49"/>
      <c r="L40" s="950"/>
      <c r="M40" s="951"/>
      <c r="N40" s="1"/>
      <c r="O40" s="142"/>
      <c r="P40" s="584">
        <f>$Q$9</f>
        <v>1</v>
      </c>
      <c r="Q40" s="142"/>
      <c r="R40" s="144"/>
      <c r="S40" s="144"/>
      <c r="T40" s="144"/>
      <c r="U40" s="584">
        <f>$Q$9</f>
        <v>1</v>
      </c>
      <c r="V40" s="144"/>
      <c r="W40" s="144"/>
      <c r="X40" s="144"/>
      <c r="Y40" s="144"/>
    </row>
    <row r="41" spans="1:25" ht="16.5" customHeight="1">
      <c r="A41" s="1"/>
      <c r="B41" s="164"/>
      <c r="C41" s="26"/>
      <c r="D41" s="35" t="str">
        <f>IF(D39=$Q$14,$R$10,IF(ROUNDDOWN(D39,0)=$Q$10,$S$10,$R$10))</f>
        <v>■レベル　2</v>
      </c>
      <c r="E41" s="168" t="s">
        <v>541</v>
      </c>
      <c r="F41" s="603"/>
      <c r="G41" s="603"/>
      <c r="H41" s="603"/>
      <c r="I41" s="603"/>
      <c r="J41" s="603"/>
      <c r="K41" s="603"/>
      <c r="L41" s="946"/>
      <c r="M41" s="947"/>
      <c r="N41" s="1"/>
      <c r="O41" s="142"/>
      <c r="P41" s="584">
        <f>$Q$10</f>
        <v>2</v>
      </c>
      <c r="Q41" s="142"/>
      <c r="R41" s="144"/>
      <c r="S41" s="144"/>
      <c r="T41" s="144"/>
      <c r="U41" s="584">
        <f>$Q$10</f>
        <v>2</v>
      </c>
      <c r="V41" s="144"/>
      <c r="W41" s="144"/>
      <c r="X41" s="144"/>
      <c r="Y41" s="144"/>
    </row>
    <row r="42" spans="1:25" ht="16.5" customHeight="1">
      <c r="A42" s="1"/>
      <c r="B42" s="164"/>
      <c r="C42" s="26"/>
      <c r="D42" s="35" t="str">
        <f>IF(D39=$Q$14,$R$11,IF(ROUNDDOWN(D39,0)=$Q$11,$S$11,$R$11))</f>
        <v>　レベル　3</v>
      </c>
      <c r="E42" s="168" t="s">
        <v>542</v>
      </c>
      <c r="F42" s="603"/>
      <c r="G42" s="603"/>
      <c r="H42" s="603"/>
      <c r="I42" s="603"/>
      <c r="J42" s="603"/>
      <c r="K42" s="582"/>
      <c r="L42" s="946"/>
      <c r="M42" s="947"/>
      <c r="N42" s="1"/>
      <c r="O42" s="142"/>
      <c r="P42" s="584">
        <f>$Q$11</f>
        <v>3</v>
      </c>
      <c r="Q42" s="142"/>
      <c r="R42" s="144"/>
      <c r="S42" s="144"/>
      <c r="T42" s="144"/>
      <c r="U42" s="584">
        <f>$Q$11</f>
        <v>3</v>
      </c>
      <c r="V42" s="144"/>
      <c r="W42" s="144"/>
      <c r="X42" s="144"/>
      <c r="Y42" s="144"/>
    </row>
    <row r="43" spans="1:25" ht="16.5" customHeight="1">
      <c r="A43" s="1"/>
      <c r="B43" s="164"/>
      <c r="C43" s="26"/>
      <c r="D43" s="35" t="str">
        <f>IF(D39=$Q$14,$R$12,IF(ROUNDDOWN(D39,0)=$Q$12,$S$12,$R$12))</f>
        <v>　レベル　4</v>
      </c>
      <c r="E43" s="168" t="s">
        <v>543</v>
      </c>
      <c r="F43" s="603"/>
      <c r="G43" s="603"/>
      <c r="H43" s="603"/>
      <c r="I43" s="603"/>
      <c r="J43" s="603"/>
      <c r="K43" s="585"/>
      <c r="L43" s="946"/>
      <c r="M43" s="947"/>
      <c r="N43" s="1"/>
      <c r="O43" s="142"/>
      <c r="P43" s="584">
        <f>$Q$12</f>
        <v>4</v>
      </c>
      <c r="Q43" s="142"/>
      <c r="R43" s="144"/>
      <c r="S43" s="144"/>
      <c r="T43" s="144"/>
      <c r="U43" s="584">
        <f>$Q$12</f>
        <v>4</v>
      </c>
      <c r="V43" s="144"/>
      <c r="W43" s="144"/>
      <c r="X43" s="144"/>
      <c r="Y43" s="144"/>
    </row>
    <row r="44" spans="1:25" ht="16.5" customHeight="1">
      <c r="A44" s="1"/>
      <c r="B44" s="164"/>
      <c r="C44" s="26"/>
      <c r="D44" s="33" t="str">
        <f>IF(D39=$Q$14,$R$13,IF(ROUNDDOWN(D39,0)=$Q$13,$S$13,$R$13))</f>
        <v>　レベル　5</v>
      </c>
      <c r="E44" s="561" t="s">
        <v>237</v>
      </c>
      <c r="F44" s="605"/>
      <c r="G44" s="605"/>
      <c r="H44" s="605"/>
      <c r="I44" s="605"/>
      <c r="J44" s="605"/>
      <c r="K44" s="587"/>
      <c r="L44" s="948"/>
      <c r="M44" s="949"/>
      <c r="N44" s="1"/>
      <c r="O44" s="142"/>
      <c r="P44" s="584" t="s">
        <v>379</v>
      </c>
      <c r="Q44" s="142"/>
      <c r="R44" s="144"/>
      <c r="S44" s="144"/>
      <c r="T44" s="144"/>
      <c r="U44" s="584">
        <f>$Q$13</f>
        <v>5</v>
      </c>
      <c r="V44" s="144"/>
      <c r="W44" s="144"/>
      <c r="X44" s="144"/>
      <c r="Y44" s="144"/>
    </row>
    <row r="45" spans="1:25" ht="16.5" thickBot="1">
      <c r="A45" s="1"/>
      <c r="B45" s="164"/>
      <c r="C45" s="26"/>
      <c r="D45" s="26"/>
      <c r="E45" s="1058" t="s">
        <v>360</v>
      </c>
      <c r="F45" s="51"/>
      <c r="G45" s="51"/>
      <c r="H45" s="51"/>
      <c r="I45" s="51"/>
      <c r="J45" s="51"/>
      <c r="K45" s="51"/>
      <c r="L45" s="51"/>
      <c r="M45" s="51"/>
      <c r="N45" s="1"/>
      <c r="O45" s="142"/>
      <c r="P45" s="584" t="s">
        <v>60</v>
      </c>
      <c r="Q45" s="142"/>
      <c r="R45" s="144"/>
      <c r="S45" s="144"/>
      <c r="T45" s="144"/>
      <c r="U45" s="584" t="str">
        <f>$Q$14</f>
        <v>対象外</v>
      </c>
      <c r="V45" s="144"/>
      <c r="W45" s="144"/>
      <c r="X45" s="144"/>
      <c r="Y45" s="144"/>
    </row>
    <row r="46" spans="1:25" ht="24" customHeight="1" thickBot="1">
      <c r="A46" s="1"/>
      <c r="B46" s="164"/>
      <c r="C46" s="26"/>
      <c r="D46" s="26"/>
      <c r="E46" s="1246" t="s">
        <v>375</v>
      </c>
      <c r="F46" s="801" t="s">
        <v>361</v>
      </c>
      <c r="G46" s="799"/>
      <c r="H46" s="799"/>
      <c r="I46" s="798" t="s">
        <v>364</v>
      </c>
      <c r="J46" s="799"/>
      <c r="K46" s="799"/>
      <c r="L46" s="799"/>
      <c r="M46" s="801"/>
      <c r="N46" s="1"/>
      <c r="O46" s="142"/>
      <c r="P46" s="804" t="s">
        <v>375</v>
      </c>
      <c r="Q46" s="804" t="s">
        <v>376</v>
      </c>
      <c r="R46" s="144"/>
      <c r="S46" s="144"/>
      <c r="T46" s="144"/>
      <c r="U46" s="615"/>
      <c r="V46" s="144"/>
      <c r="W46" s="144"/>
      <c r="X46" s="144"/>
      <c r="Y46" s="144"/>
    </row>
    <row r="47" spans="1:25" ht="56.25" customHeight="1">
      <c r="A47" s="1"/>
      <c r="B47" s="164"/>
      <c r="C47" s="26"/>
      <c r="D47" s="26"/>
      <c r="E47" s="375"/>
      <c r="F47" s="797" t="s">
        <v>7</v>
      </c>
      <c r="G47" s="2400" t="s">
        <v>1131</v>
      </c>
      <c r="H47" s="2402"/>
      <c r="I47" s="803" t="s">
        <v>365</v>
      </c>
      <c r="J47" s="574" t="s">
        <v>7</v>
      </c>
      <c r="K47" s="2400" t="s">
        <v>1132</v>
      </c>
      <c r="L47" s="2401"/>
      <c r="M47" s="2402"/>
      <c r="N47" s="1"/>
      <c r="O47" s="142"/>
      <c r="Q47" s="142"/>
      <c r="R47" s="144"/>
      <c r="S47" s="144"/>
      <c r="T47" s="144"/>
      <c r="U47" s="615"/>
      <c r="V47" s="144"/>
      <c r="W47" s="144"/>
      <c r="X47" s="144"/>
      <c r="Y47" s="144"/>
    </row>
    <row r="48" spans="1:25" ht="37.5" customHeight="1">
      <c r="A48" s="1"/>
      <c r="B48" s="164"/>
      <c r="C48" s="26"/>
      <c r="D48" s="26"/>
      <c r="E48" s="805"/>
      <c r="F48" s="550" t="s">
        <v>5</v>
      </c>
      <c r="G48" s="2403" t="s">
        <v>1133</v>
      </c>
      <c r="H48" s="2405"/>
      <c r="I48" s="802"/>
      <c r="J48" s="576" t="s">
        <v>5</v>
      </c>
      <c r="K48" s="2403" t="s">
        <v>1134</v>
      </c>
      <c r="L48" s="2404"/>
      <c r="M48" s="2405"/>
      <c r="N48" s="1"/>
      <c r="O48" s="142"/>
      <c r="P48" s="4">
        <f>COUNTIF(E47:E48,U3)</f>
        <v>0</v>
      </c>
      <c r="Q48" s="142"/>
      <c r="R48" s="144"/>
      <c r="S48" s="144"/>
      <c r="T48" s="144"/>
      <c r="U48" s="615"/>
      <c r="V48" s="144"/>
      <c r="W48" s="144"/>
      <c r="X48" s="144"/>
      <c r="Y48" s="144"/>
    </row>
    <row r="49" spans="1:25">
      <c r="A49" s="1"/>
      <c r="B49" s="164"/>
      <c r="C49" s="26"/>
      <c r="D49" s="26"/>
      <c r="E49" s="769"/>
      <c r="F49" s="797"/>
      <c r="G49" s="536"/>
      <c r="H49" s="537"/>
      <c r="I49" s="803" t="s">
        <v>374</v>
      </c>
      <c r="J49" s="574" t="s">
        <v>7</v>
      </c>
      <c r="K49" s="537" t="s">
        <v>362</v>
      </c>
      <c r="L49" s="537"/>
      <c r="M49" s="539"/>
      <c r="N49" s="1"/>
      <c r="O49" s="142"/>
      <c r="P49" s="615"/>
      <c r="Q49" s="142"/>
      <c r="R49" s="144"/>
      <c r="S49" s="144"/>
      <c r="T49" s="144"/>
      <c r="U49" s="615"/>
      <c r="V49" s="144"/>
      <c r="W49" s="144"/>
      <c r="X49" s="144"/>
      <c r="Y49" s="144"/>
    </row>
    <row r="50" spans="1:25" ht="16.5" thickBot="1">
      <c r="A50" s="1"/>
      <c r="B50" s="164"/>
      <c r="C50" s="26"/>
      <c r="D50" s="26"/>
      <c r="E50" s="376"/>
      <c r="F50" s="550"/>
      <c r="G50" s="544"/>
      <c r="H50" s="528"/>
      <c r="I50" s="802" t="s">
        <v>373</v>
      </c>
      <c r="J50" s="576" t="s">
        <v>5</v>
      </c>
      <c r="K50" s="528" t="s">
        <v>363</v>
      </c>
      <c r="L50" s="528"/>
      <c r="M50" s="527"/>
      <c r="N50" s="1"/>
      <c r="O50" s="142"/>
      <c r="P50" s="4">
        <f>COUNTIF(E49:E50,U3)</f>
        <v>0</v>
      </c>
      <c r="Q50" s="142"/>
      <c r="R50" s="144"/>
      <c r="S50" s="144"/>
      <c r="T50" s="144"/>
      <c r="U50" s="615"/>
      <c r="V50" s="144"/>
      <c r="W50" s="144"/>
      <c r="X50" s="144"/>
      <c r="Y50" s="144"/>
    </row>
    <row r="51" spans="1:25" ht="17.25" customHeight="1">
      <c r="A51" s="1"/>
      <c r="B51" s="164"/>
      <c r="C51" s="26"/>
      <c r="D51" s="26"/>
      <c r="E51" s="806"/>
      <c r="F51" s="528"/>
      <c r="G51" s="528"/>
      <c r="H51" s="528"/>
      <c r="I51" s="528"/>
      <c r="J51" s="528"/>
      <c r="K51" s="528" t="s">
        <v>377</v>
      </c>
      <c r="L51" s="1057">
        <f>IF(E46=P46,IF(P48&gt;0,1,0),IF(P48&gt;0,1,0)+IF(P50&gt;0,1,0))</f>
        <v>0</v>
      </c>
      <c r="M51" s="527" t="s">
        <v>378</v>
      </c>
      <c r="N51" s="1"/>
      <c r="O51" s="142"/>
      <c r="P51" s="615"/>
      <c r="Q51" s="142"/>
      <c r="R51" s="144"/>
      <c r="S51" s="144"/>
      <c r="T51" s="144"/>
      <c r="U51" s="615"/>
      <c r="V51" s="144"/>
      <c r="W51" s="144"/>
      <c r="X51" s="144"/>
      <c r="Y51" s="144"/>
    </row>
    <row r="52" spans="1:25" s="144" customFormat="1" ht="8.25" customHeight="1">
      <c r="A52" s="51"/>
      <c r="B52" s="164"/>
      <c r="C52" s="607"/>
      <c r="D52" s="309"/>
      <c r="E52" s="309"/>
      <c r="F52" s="1"/>
      <c r="G52" s="1"/>
      <c r="H52" s="1"/>
      <c r="I52" s="1"/>
      <c r="J52" s="1"/>
      <c r="K52" s="1"/>
      <c r="L52" s="1"/>
      <c r="M52" s="1"/>
      <c r="N52" s="150"/>
      <c r="P52" s="584" t="s">
        <v>60</v>
      </c>
      <c r="Q52" s="324" t="s">
        <v>82</v>
      </c>
      <c r="R52" s="4"/>
      <c r="S52" s="4"/>
      <c r="T52" s="132"/>
    </row>
    <row r="53" spans="1:25" s="144" customFormat="1" ht="21" customHeight="1">
      <c r="A53" s="51"/>
      <c r="B53" s="164"/>
      <c r="C53" s="607"/>
      <c r="E53" s="781" t="s">
        <v>3</v>
      </c>
      <c r="F53" s="782"/>
      <c r="G53" s="1201"/>
      <c r="H53" s="1201"/>
      <c r="I53" s="2388"/>
      <c r="J53" s="2389"/>
      <c r="K53" s="2389"/>
      <c r="L53" s="2389"/>
      <c r="M53" s="2390"/>
      <c r="N53" s="150"/>
      <c r="P53" s="615"/>
      <c r="Q53" s="324"/>
      <c r="R53" s="4"/>
      <c r="S53" s="4"/>
      <c r="T53" s="132"/>
      <c r="U53" s="615"/>
      <c r="V53" s="132"/>
      <c r="W53" s="132"/>
      <c r="X53" s="132"/>
      <c r="Y53" s="132"/>
    </row>
    <row r="54" spans="1:25">
      <c r="A54" s="1"/>
      <c r="B54" s="164"/>
      <c r="C54" s="26"/>
      <c r="D54" s="26"/>
      <c r="E54" s="606"/>
      <c r="F54" s="51"/>
      <c r="G54" s="51"/>
      <c r="H54" s="51"/>
      <c r="I54" s="51"/>
      <c r="J54" s="51"/>
      <c r="K54" s="51"/>
      <c r="L54" s="51"/>
      <c r="M54" s="51"/>
      <c r="N54" s="1"/>
      <c r="O54" s="142"/>
      <c r="P54" s="615"/>
      <c r="Q54" s="142"/>
      <c r="R54" s="144"/>
      <c r="S54" s="144"/>
      <c r="T54" s="144"/>
      <c r="U54" s="615"/>
      <c r="V54" s="144"/>
      <c r="W54" s="144"/>
      <c r="X54" s="144"/>
      <c r="Y54" s="144"/>
    </row>
    <row r="55" spans="1:25" s="325" customFormat="1" ht="16.5" customHeight="1">
      <c r="A55" s="23"/>
      <c r="B55" s="1063">
        <v>1.4</v>
      </c>
      <c r="C55" s="30" t="s">
        <v>488</v>
      </c>
      <c r="D55" s="30"/>
      <c r="E55" s="310"/>
      <c r="F55" s="147"/>
      <c r="G55" s="147"/>
      <c r="H55" s="147"/>
      <c r="I55" s="147"/>
      <c r="J55" s="147"/>
      <c r="K55" s="147"/>
      <c r="L55" s="147"/>
      <c r="M55" s="602"/>
      <c r="N55" s="23"/>
      <c r="O55" s="730"/>
      <c r="P55" s="730"/>
      <c r="Q55" s="730"/>
    </row>
    <row r="56" spans="1:25" s="300" customFormat="1" ht="16.5" customHeight="1" thickBot="1">
      <c r="A56" s="133"/>
      <c r="B56" s="164"/>
      <c r="C56" s="28"/>
      <c r="D56" s="136"/>
      <c r="E56" s="413"/>
      <c r="F56" s="148"/>
      <c r="G56" s="134"/>
      <c r="H56" s="134"/>
      <c r="I56" s="51"/>
      <c r="J56" s="51"/>
      <c r="K56" s="51"/>
      <c r="L56" s="176" t="s">
        <v>2</v>
      </c>
      <c r="M56" s="48">
        <f>重み!M34</f>
        <v>0.3</v>
      </c>
      <c r="N56" s="133"/>
      <c r="O56" s="144">
        <f>C56</f>
        <v>0</v>
      </c>
      <c r="P56" s="144">
        <f>D56</f>
        <v>0</v>
      </c>
      <c r="Q56" s="144">
        <f>E56</f>
        <v>0</v>
      </c>
      <c r="R56" s="144">
        <f>F56</f>
        <v>0</v>
      </c>
      <c r="S56" s="144" t="str">
        <f>L56</f>
        <v>重み係数＝</v>
      </c>
      <c r="T56" s="144">
        <f>M56</f>
        <v>0.3</v>
      </c>
      <c r="U56" s="144">
        <f>I56</f>
        <v>0</v>
      </c>
      <c r="V56" s="144">
        <f>J56</f>
        <v>0</v>
      </c>
      <c r="W56" s="144">
        <f>K56</f>
        <v>0</v>
      </c>
      <c r="X56" s="144" t="e">
        <f>#REF!</f>
        <v>#REF!</v>
      </c>
      <c r="Y56" s="144" t="e">
        <f>#REF!</f>
        <v>#REF!</v>
      </c>
    </row>
    <row r="57" spans="1:25" s="300" customFormat="1" ht="16.5" customHeight="1" thickBot="1">
      <c r="A57" s="133"/>
      <c r="B57" s="164"/>
      <c r="C57" s="28"/>
      <c r="D57" s="1050">
        <v>3</v>
      </c>
      <c r="E57" s="2391" t="s">
        <v>391</v>
      </c>
      <c r="F57" s="2392"/>
      <c r="G57" s="2392"/>
      <c r="H57" s="2392"/>
      <c r="I57" s="2392"/>
      <c r="J57" s="2392"/>
      <c r="K57" s="2392"/>
      <c r="L57" s="2392"/>
      <c r="M57" s="2393"/>
      <c r="N57" s="133"/>
      <c r="O57" s="142"/>
      <c r="P57" s="144"/>
      <c r="Q57" s="142"/>
      <c r="R57" s="144"/>
      <c r="S57" s="144"/>
      <c r="T57" s="144"/>
      <c r="U57" s="144"/>
      <c r="V57" s="144"/>
      <c r="W57" s="144"/>
      <c r="X57" s="144"/>
      <c r="Y57" s="144"/>
    </row>
    <row r="58" spans="1:25" s="300" customFormat="1" ht="16.5" customHeight="1">
      <c r="A58" s="133"/>
      <c r="B58" s="164"/>
      <c r="C58" s="28"/>
      <c r="D58" s="472" t="str">
        <f>IF(D57=$Q$14,$R$9,IF(ROUNDDOWN(D57,0)=$Q$9,$S$9,$R$9))</f>
        <v>　レベル　1</v>
      </c>
      <c r="E58" s="522" t="s">
        <v>383</v>
      </c>
      <c r="F58" s="580"/>
      <c r="G58" s="580"/>
      <c r="H58" s="580"/>
      <c r="I58" s="580"/>
      <c r="J58" s="580"/>
      <c r="K58" s="580"/>
      <c r="L58" s="580"/>
      <c r="M58" s="581"/>
      <c r="N58" s="133"/>
      <c r="O58" s="142"/>
      <c r="P58" s="584" t="s">
        <v>791</v>
      </c>
      <c r="Q58" s="142"/>
      <c r="R58" s="144"/>
      <c r="S58" s="144"/>
      <c r="T58" s="144"/>
      <c r="U58" s="584">
        <f>$Q$9</f>
        <v>1</v>
      </c>
      <c r="V58" s="144"/>
      <c r="W58" s="144"/>
      <c r="X58" s="144"/>
      <c r="Y58" s="144"/>
    </row>
    <row r="59" spans="1:25" s="300" customFormat="1" ht="16.5" customHeight="1">
      <c r="A59" s="133"/>
      <c r="B59" s="164"/>
      <c r="C59" s="28"/>
      <c r="D59" s="39" t="str">
        <f>IF(D57=$Q$14,$R$10,IF(ROUNDDOWN(D57,0)=$Q$10,$S$10,$R$10))</f>
        <v>　レベル　2</v>
      </c>
      <c r="E59" s="523" t="s">
        <v>383</v>
      </c>
      <c r="F59" s="582"/>
      <c r="G59" s="582"/>
      <c r="H59" s="582"/>
      <c r="I59" s="582"/>
      <c r="J59" s="582"/>
      <c r="K59" s="582"/>
      <c r="L59" s="582"/>
      <c r="M59" s="583"/>
      <c r="N59" s="133"/>
      <c r="O59" s="142"/>
      <c r="P59" s="584" t="s">
        <v>806</v>
      </c>
      <c r="Q59" s="142"/>
      <c r="R59" s="144"/>
      <c r="S59" s="144"/>
      <c r="T59" s="144"/>
      <c r="U59" s="584">
        <f>$Q$10</f>
        <v>2</v>
      </c>
      <c r="V59" s="144"/>
      <c r="W59" s="144"/>
      <c r="X59" s="144"/>
      <c r="Y59" s="144"/>
    </row>
    <row r="60" spans="1:25" s="300" customFormat="1" ht="16.5" customHeight="1">
      <c r="A60" s="133"/>
      <c r="B60" s="164"/>
      <c r="C60" s="28"/>
      <c r="D60" s="39" t="str">
        <f>IF(D57=$Q$14,$R$11,IF(ROUNDDOWN(D57,0)=$Q$11,$S$11,$R$11))</f>
        <v>■レベル　3</v>
      </c>
      <c r="E60" s="523" t="s">
        <v>636</v>
      </c>
      <c r="F60" s="582"/>
      <c r="G60" s="582"/>
      <c r="H60" s="582"/>
      <c r="I60" s="582"/>
      <c r="J60" s="582"/>
      <c r="K60" s="582"/>
      <c r="L60" s="582"/>
      <c r="M60" s="583"/>
      <c r="N60" s="133"/>
      <c r="O60" s="142"/>
      <c r="P60" s="584">
        <f>$Q$11</f>
        <v>3</v>
      </c>
      <c r="Q60" s="142"/>
      <c r="R60" s="144"/>
      <c r="S60" s="144"/>
      <c r="T60" s="144"/>
      <c r="U60" s="584">
        <f>$Q$11</f>
        <v>3</v>
      </c>
      <c r="V60" s="144"/>
      <c r="W60" s="144"/>
      <c r="X60" s="144"/>
      <c r="Y60" s="144"/>
    </row>
    <row r="61" spans="1:25" s="300" customFormat="1" ht="16.5" customHeight="1">
      <c r="A61" s="133"/>
      <c r="B61" s="164"/>
      <c r="C61" s="28"/>
      <c r="D61" s="39" t="str">
        <f>IF(D57=$Q$14,$R$12,IF(ROUNDDOWN(D57,0)=$Q$12,$S$12,$R$12))</f>
        <v>　レベル　4</v>
      </c>
      <c r="E61" s="535" t="s">
        <v>637</v>
      </c>
      <c r="F61" s="585"/>
      <c r="G61" s="585"/>
      <c r="H61" s="585"/>
      <c r="I61" s="585"/>
      <c r="J61" s="585"/>
      <c r="K61" s="585"/>
      <c r="L61" s="585"/>
      <c r="M61" s="586"/>
      <c r="N61" s="133"/>
      <c r="O61" s="142"/>
      <c r="P61" s="584">
        <f>$Q$12</f>
        <v>4</v>
      </c>
      <c r="Q61" s="142"/>
      <c r="R61" s="144"/>
      <c r="S61" s="144"/>
      <c r="T61" s="144"/>
      <c r="U61" s="584">
        <f>$Q$12</f>
        <v>4</v>
      </c>
      <c r="V61" s="144"/>
      <c r="W61" s="144"/>
      <c r="X61" s="144"/>
      <c r="Y61" s="144"/>
    </row>
    <row r="62" spans="1:25" s="300" customFormat="1" ht="16.5" customHeight="1">
      <c r="A62" s="133"/>
      <c r="B62" s="134"/>
      <c r="C62" s="28"/>
      <c r="D62" s="411" t="str">
        <f>IF(D57=$Q$14,$R$13,IF(ROUNDDOWN(D57,0)=$Q$13,$S$13,$R$13))</f>
        <v>　レベル　5</v>
      </c>
      <c r="E62" s="561" t="s">
        <v>638</v>
      </c>
      <c r="F62" s="587"/>
      <c r="G62" s="587"/>
      <c r="H62" s="587"/>
      <c r="I62" s="587"/>
      <c r="J62" s="587"/>
      <c r="K62" s="587"/>
      <c r="L62" s="587"/>
      <c r="M62" s="588"/>
      <c r="N62" s="133"/>
      <c r="O62" s="142"/>
      <c r="P62" s="584">
        <f>$Q$13</f>
        <v>5</v>
      </c>
      <c r="Q62" s="142"/>
      <c r="R62" s="144"/>
      <c r="S62" s="144"/>
      <c r="T62" s="144"/>
      <c r="U62" s="584">
        <f>$Q$13</f>
        <v>5</v>
      </c>
      <c r="V62" s="144"/>
      <c r="W62" s="144"/>
      <c r="X62" s="144"/>
      <c r="Y62" s="144"/>
    </row>
    <row r="63" spans="1:25" s="144" customFormat="1" ht="8.25" customHeight="1">
      <c r="A63" s="51"/>
      <c r="B63" s="164"/>
      <c r="C63" s="607"/>
      <c r="D63" s="309"/>
      <c r="E63" s="309"/>
      <c r="F63" s="1"/>
      <c r="G63" s="1"/>
      <c r="H63" s="1"/>
      <c r="I63" s="1"/>
      <c r="J63" s="1"/>
      <c r="K63" s="1"/>
      <c r="L63" s="1"/>
      <c r="M63" s="1"/>
      <c r="N63" s="150"/>
      <c r="P63" s="584" t="s">
        <v>60</v>
      </c>
      <c r="Q63" s="324" t="s">
        <v>82</v>
      </c>
      <c r="R63" s="4"/>
      <c r="S63" s="4"/>
      <c r="T63" s="132"/>
    </row>
    <row r="64" spans="1:25" s="144" customFormat="1" ht="21" customHeight="1">
      <c r="A64" s="51"/>
      <c r="B64" s="164"/>
      <c r="C64" s="607"/>
      <c r="E64" s="781" t="s">
        <v>3</v>
      </c>
      <c r="F64" s="782"/>
      <c r="G64" s="1201"/>
      <c r="H64" s="1201"/>
      <c r="I64" s="2388"/>
      <c r="J64" s="2389"/>
      <c r="K64" s="2389"/>
      <c r="L64" s="2389"/>
      <c r="M64" s="2390"/>
      <c r="N64" s="150"/>
      <c r="P64" s="615"/>
      <c r="Q64" s="324"/>
      <c r="R64" s="4"/>
      <c r="S64" s="4"/>
      <c r="T64" s="132"/>
      <c r="U64" s="615"/>
      <c r="V64" s="132"/>
      <c r="W64" s="132"/>
      <c r="X64" s="132"/>
      <c r="Y64" s="132"/>
    </row>
    <row r="65" spans="1:25" ht="14.25" customHeight="1">
      <c r="A65" s="1"/>
      <c r="B65" s="164"/>
      <c r="C65" s="26"/>
      <c r="D65" s="26"/>
      <c r="E65" s="610"/>
      <c r="F65" s="134"/>
      <c r="G65" s="134"/>
      <c r="H65" s="51"/>
      <c r="I65" s="147"/>
      <c r="J65" s="147"/>
      <c r="K65" s="147"/>
      <c r="L65" s="147"/>
      <c r="M65" s="147"/>
      <c r="N65" s="1"/>
      <c r="O65" s="142"/>
      <c r="P65" s="615"/>
      <c r="Q65" s="142"/>
      <c r="R65" s="144"/>
      <c r="S65" s="144"/>
      <c r="T65" s="144"/>
      <c r="U65" s="615"/>
      <c r="V65" s="144"/>
      <c r="W65" s="144"/>
      <c r="X65" s="144"/>
      <c r="Y65" s="144"/>
    </row>
    <row r="66" spans="1:25" s="325" customFormat="1" ht="16.5" customHeight="1">
      <c r="A66" s="23"/>
      <c r="B66" s="473">
        <v>1.5</v>
      </c>
      <c r="C66" s="30" t="s">
        <v>489</v>
      </c>
      <c r="D66" s="30"/>
      <c r="E66" s="310"/>
      <c r="F66" s="147"/>
      <c r="G66" s="147"/>
      <c r="H66" s="147"/>
      <c r="I66" s="147"/>
      <c r="J66" s="147"/>
      <c r="K66" s="147"/>
      <c r="L66" s="147"/>
      <c r="M66" s="602"/>
      <c r="N66" s="23"/>
      <c r="O66" s="730"/>
      <c r="P66" s="730"/>
      <c r="Q66" s="730"/>
    </row>
    <row r="67" spans="1:25" ht="16.5" customHeight="1" thickBot="1">
      <c r="A67" s="1"/>
      <c r="B67" s="164"/>
      <c r="C67" s="34"/>
      <c r="D67" s="1019" t="s">
        <v>1143</v>
      </c>
      <c r="E67" s="413"/>
      <c r="F67" s="148"/>
      <c r="G67" s="4"/>
      <c r="H67" s="4"/>
      <c r="I67" s="4"/>
      <c r="J67" s="4"/>
      <c r="K67" s="4"/>
      <c r="L67" s="176" t="s">
        <v>2</v>
      </c>
      <c r="M67" s="48">
        <f>重み!M36</f>
        <v>0.65</v>
      </c>
      <c r="N67" s="5"/>
      <c r="O67" s="144">
        <f>C67</f>
        <v>0</v>
      </c>
      <c r="P67" s="144" t="str">
        <f>D67</f>
        <v>1.5.1　火災に耐える構造（開口部以外）</v>
      </c>
      <c r="Q67" s="144">
        <f>E67</f>
        <v>0</v>
      </c>
      <c r="R67" s="144">
        <f>F67</f>
        <v>0</v>
      </c>
      <c r="S67" s="144" t="str">
        <f>L67</f>
        <v>重み係数＝</v>
      </c>
      <c r="T67" s="144">
        <f>M67</f>
        <v>0.65</v>
      </c>
    </row>
    <row r="68" spans="1:25" ht="16.5" customHeight="1" thickBot="1">
      <c r="A68" s="1"/>
      <c r="B68" s="164"/>
      <c r="C68" s="34"/>
      <c r="D68" s="1050">
        <v>3</v>
      </c>
      <c r="E68" s="2391" t="s">
        <v>391</v>
      </c>
      <c r="F68" s="2392"/>
      <c r="G68" s="2392"/>
      <c r="H68" s="2392"/>
      <c r="I68" s="2392"/>
      <c r="J68" s="2392"/>
      <c r="K68" s="2392"/>
      <c r="L68" s="2392"/>
      <c r="M68" s="2393"/>
      <c r="N68" s="1"/>
      <c r="O68" s="142"/>
      <c r="P68" s="144"/>
      <c r="Q68" s="142"/>
      <c r="R68" s="144"/>
      <c r="S68" s="144"/>
      <c r="T68" s="144"/>
    </row>
    <row r="69" spans="1:25" ht="16.5" customHeight="1">
      <c r="A69" s="1"/>
      <c r="B69" s="164"/>
      <c r="C69" s="46"/>
      <c r="D69" s="472" t="str">
        <f>IF(D68=$Q$14,$R$9,IF(ROUNDDOWN(D68,0)=$Q$9,$S$9,$R$9))</f>
        <v>　レベル　1</v>
      </c>
      <c r="E69" s="628" t="s">
        <v>639</v>
      </c>
      <c r="F69" s="783"/>
      <c r="G69" s="783"/>
      <c r="H69" s="783"/>
      <c r="I69" s="783"/>
      <c r="J69" s="783"/>
      <c r="K69" s="783"/>
      <c r="L69" s="783"/>
      <c r="M69" s="784"/>
      <c r="N69" s="1"/>
      <c r="O69" s="142"/>
      <c r="P69" s="584">
        <f>$Q$9</f>
        <v>1</v>
      </c>
      <c r="Q69" s="142"/>
      <c r="R69" s="144"/>
      <c r="S69" s="144"/>
      <c r="T69" s="144"/>
    </row>
    <row r="70" spans="1:25" ht="16.5" customHeight="1">
      <c r="A70" s="1"/>
      <c r="B70" s="164"/>
      <c r="C70" s="46"/>
      <c r="D70" s="39" t="str">
        <f>IF(D68=$Q$14,$R$10,IF(ROUNDDOWN(D68,0)=$Q$10,$S$10,$R$10))</f>
        <v>　レベル　2</v>
      </c>
      <c r="E70" s="174" t="s">
        <v>383</v>
      </c>
      <c r="F70" s="603"/>
      <c r="G70" s="603"/>
      <c r="H70" s="603"/>
      <c r="I70" s="603"/>
      <c r="J70" s="603"/>
      <c r="K70" s="603"/>
      <c r="L70" s="603"/>
      <c r="M70" s="604"/>
      <c r="N70" s="1"/>
      <c r="O70" s="142"/>
      <c r="P70" s="584" t="s">
        <v>806</v>
      </c>
      <c r="Q70" s="142"/>
      <c r="R70" s="144"/>
      <c r="S70" s="144"/>
      <c r="T70" s="144"/>
    </row>
    <row r="71" spans="1:25" ht="16.5" customHeight="1">
      <c r="A71" s="1"/>
      <c r="B71" s="164"/>
      <c r="C71" s="46"/>
      <c r="D71" s="39" t="str">
        <f>IF(D68=$Q$14,$R$11,IF(ROUNDDOWN(D68,0)=$Q$11,$S$11,$R$11))</f>
        <v>■レベル　3</v>
      </c>
      <c r="E71" s="174" t="s">
        <v>640</v>
      </c>
      <c r="F71" s="774"/>
      <c r="G71" s="774"/>
      <c r="H71" s="774"/>
      <c r="I71" s="774"/>
      <c r="J71" s="774"/>
      <c r="K71" s="774"/>
      <c r="L71" s="774"/>
      <c r="M71" s="775"/>
      <c r="N71" s="1"/>
      <c r="O71" s="142"/>
      <c r="P71" s="584">
        <f>$Q$11</f>
        <v>3</v>
      </c>
      <c r="Q71" s="142"/>
      <c r="R71" s="144"/>
      <c r="S71" s="144"/>
      <c r="T71" s="144"/>
    </row>
    <row r="72" spans="1:25" ht="16.5" customHeight="1">
      <c r="A72" s="1"/>
      <c r="B72" s="164"/>
      <c r="C72" s="46"/>
      <c r="D72" s="39" t="str">
        <f>IF(D68=$Q$14,$R$12,IF(ROUNDDOWN(D68,0)=$Q$12,$S$12,$R$12))</f>
        <v>　レベル　4</v>
      </c>
      <c r="E72" s="174" t="s">
        <v>641</v>
      </c>
      <c r="F72" s="774"/>
      <c r="G72" s="774"/>
      <c r="H72" s="774"/>
      <c r="I72" s="774"/>
      <c r="J72" s="774"/>
      <c r="K72" s="774"/>
      <c r="L72" s="774"/>
      <c r="M72" s="775"/>
      <c r="N72" s="1"/>
      <c r="O72" s="142"/>
      <c r="P72" s="584">
        <f>$Q$12</f>
        <v>4</v>
      </c>
      <c r="Q72" s="142"/>
      <c r="R72" s="144"/>
      <c r="S72" s="144"/>
      <c r="T72" s="144"/>
    </row>
    <row r="73" spans="1:25" ht="16.5" customHeight="1">
      <c r="A73" s="1"/>
      <c r="B73" s="164"/>
      <c r="C73" s="46"/>
      <c r="D73" s="411" t="str">
        <f>IF(D68=$Q$14,$R$13,IF(ROUNDDOWN(D68,0)=$Q$13,$S$13,$R$13))</f>
        <v>　レベル　5</v>
      </c>
      <c r="E73" s="778" t="s">
        <v>642</v>
      </c>
      <c r="F73" s="776"/>
      <c r="G73" s="776"/>
      <c r="H73" s="776"/>
      <c r="I73" s="776"/>
      <c r="J73" s="776"/>
      <c r="K73" s="776"/>
      <c r="L73" s="776"/>
      <c r="M73" s="777"/>
      <c r="N73" s="1"/>
      <c r="O73" s="142"/>
      <c r="P73" s="584">
        <f>$Q$13</f>
        <v>5</v>
      </c>
      <c r="Q73" s="142"/>
      <c r="R73" s="144"/>
      <c r="S73" s="144"/>
      <c r="T73" s="144"/>
    </row>
    <row r="74" spans="1:25" s="144" customFormat="1" ht="8.25" customHeight="1">
      <c r="A74" s="51"/>
      <c r="B74" s="164"/>
      <c r="C74" s="607"/>
      <c r="D74" s="309"/>
      <c r="E74" s="309"/>
      <c r="F74" s="1"/>
      <c r="G74" s="1"/>
      <c r="H74" s="1"/>
      <c r="I74" s="1"/>
      <c r="J74" s="1"/>
      <c r="K74" s="1"/>
      <c r="L74" s="1"/>
      <c r="M74" s="1"/>
      <c r="N74" s="150"/>
      <c r="P74" s="1197" t="s">
        <v>82</v>
      </c>
      <c r="Q74" s="324" t="s">
        <v>82</v>
      </c>
      <c r="R74" s="4"/>
      <c r="S74" s="4"/>
      <c r="T74" s="132"/>
    </row>
    <row r="75" spans="1:25" s="144" customFormat="1" ht="21" customHeight="1">
      <c r="A75" s="51"/>
      <c r="B75" s="164"/>
      <c r="C75" s="607"/>
      <c r="E75" s="781" t="s">
        <v>3</v>
      </c>
      <c r="F75" s="782"/>
      <c r="G75" s="1201"/>
      <c r="H75" s="1201"/>
      <c r="I75" s="2388"/>
      <c r="J75" s="2389"/>
      <c r="K75" s="2389"/>
      <c r="L75" s="2389"/>
      <c r="M75" s="2390"/>
      <c r="N75" s="150"/>
      <c r="P75" s="615"/>
      <c r="Q75" s="324"/>
      <c r="R75" s="4"/>
      <c r="S75" s="4"/>
      <c r="T75" s="132"/>
      <c r="U75" s="615"/>
      <c r="V75" s="132"/>
      <c r="W75" s="132"/>
      <c r="X75" s="132"/>
      <c r="Y75" s="132"/>
    </row>
    <row r="76" spans="1:25">
      <c r="A76" s="1"/>
      <c r="B76" s="164"/>
      <c r="C76" s="26"/>
      <c r="D76" s="305"/>
      <c r="E76" s="610"/>
      <c r="F76" s="134"/>
      <c r="G76" s="134"/>
      <c r="H76" s="51"/>
      <c r="I76" s="147"/>
      <c r="J76" s="147"/>
      <c r="K76" s="147"/>
      <c r="L76" s="147"/>
      <c r="M76" s="147"/>
      <c r="N76" s="1"/>
      <c r="O76" s="142"/>
      <c r="P76" s="615"/>
      <c r="Q76" s="142"/>
      <c r="R76" s="144"/>
      <c r="S76" s="144"/>
      <c r="T76" s="144"/>
      <c r="U76" s="615"/>
      <c r="V76" s="144"/>
      <c r="W76" s="144"/>
      <c r="X76" s="144"/>
      <c r="Y76" s="144"/>
    </row>
    <row r="77" spans="1:25" ht="16.5" customHeight="1" thickBot="1">
      <c r="A77" s="1"/>
      <c r="B77" s="164"/>
      <c r="C77" s="26"/>
      <c r="D77" s="1019" t="s">
        <v>355</v>
      </c>
      <c r="E77" s="413"/>
      <c r="F77" s="148"/>
      <c r="G77" s="4"/>
      <c r="H77" s="4"/>
      <c r="I77" s="147"/>
      <c r="J77" s="147"/>
      <c r="K77" s="147"/>
      <c r="L77" s="176" t="s">
        <v>328</v>
      </c>
      <c r="M77" s="48">
        <f>重み!M37</f>
        <v>0.35</v>
      </c>
      <c r="N77" s="1"/>
      <c r="O77" s="142"/>
      <c r="P77" s="144" t="str">
        <f>D77</f>
        <v>1.5.2　火災の早期感知</v>
      </c>
      <c r="Q77" s="144">
        <f>E77</f>
        <v>0</v>
      </c>
      <c r="R77" s="144">
        <f>F77</f>
        <v>0</v>
      </c>
      <c r="S77" s="144" t="str">
        <f>L77</f>
        <v>重み係数(既定）＝</v>
      </c>
      <c r="T77" s="144">
        <f>M77</f>
        <v>0.35</v>
      </c>
      <c r="U77" s="615"/>
      <c r="V77" s="144"/>
      <c r="W77" s="144"/>
      <c r="X77" s="144"/>
      <c r="Y77" s="144"/>
    </row>
    <row r="78" spans="1:25" ht="16.5" customHeight="1" thickBot="1">
      <c r="A78" s="1"/>
      <c r="B78" s="164"/>
      <c r="C78" s="26"/>
      <c r="D78" s="1050">
        <v>3</v>
      </c>
      <c r="E78" s="2391" t="s">
        <v>391</v>
      </c>
      <c r="F78" s="2392"/>
      <c r="G78" s="2392"/>
      <c r="H78" s="2392"/>
      <c r="I78" s="2392"/>
      <c r="J78" s="2392"/>
      <c r="K78" s="2392"/>
      <c r="L78" s="2392"/>
      <c r="M78" s="2393"/>
      <c r="N78" s="1"/>
      <c r="O78" s="142"/>
      <c r="P78" s="144"/>
      <c r="Q78" s="144"/>
      <c r="R78" s="144"/>
      <c r="S78" s="144"/>
      <c r="T78" s="144"/>
      <c r="U78" s="615"/>
      <c r="V78" s="144"/>
      <c r="W78" s="144"/>
      <c r="X78" s="144"/>
      <c r="Y78" s="144"/>
    </row>
    <row r="79" spans="1:25" ht="16.5" customHeight="1">
      <c r="A79" s="1"/>
      <c r="B79" s="164"/>
      <c r="C79" s="26"/>
      <c r="D79" s="32" t="str">
        <f>IF(D78=$Q$14,$R$9,IF(ROUNDDOWN(D78,0)=$Q$9,$S$9,$R$9))</f>
        <v>　レベル　1</v>
      </c>
      <c r="E79" s="628" t="s">
        <v>383</v>
      </c>
      <c r="F79" s="767"/>
      <c r="G79" s="767"/>
      <c r="H79" s="767"/>
      <c r="I79" s="767"/>
      <c r="J79" s="767"/>
      <c r="K79" s="767"/>
      <c r="L79" s="767"/>
      <c r="M79" s="768"/>
      <c r="N79" s="1"/>
      <c r="O79" s="142"/>
      <c r="P79" s="584" t="s">
        <v>807</v>
      </c>
      <c r="Q79" s="144"/>
      <c r="R79" s="144"/>
      <c r="S79" s="144"/>
      <c r="T79" s="144"/>
      <c r="U79" s="615"/>
      <c r="V79" s="144"/>
      <c r="W79" s="144"/>
      <c r="X79" s="144"/>
      <c r="Y79" s="144"/>
    </row>
    <row r="80" spans="1:25" ht="16.5" customHeight="1">
      <c r="A80" s="1"/>
      <c r="B80" s="164"/>
      <c r="C80" s="26"/>
      <c r="D80" s="35" t="str">
        <f>IF(D78=$Q$14,$R$10,IF(ROUNDDOWN(D78,0)=$Q$10,$S$10,$R$10))</f>
        <v>　レベル　2</v>
      </c>
      <c r="E80" s="174" t="s">
        <v>383</v>
      </c>
      <c r="F80" s="774"/>
      <c r="G80" s="774"/>
      <c r="H80" s="774"/>
      <c r="I80" s="774"/>
      <c r="J80" s="774"/>
      <c r="K80" s="774"/>
      <c r="L80" s="774"/>
      <c r="M80" s="775"/>
      <c r="N80" s="1"/>
      <c r="O80" s="142"/>
      <c r="P80" s="584" t="s">
        <v>808</v>
      </c>
      <c r="Q80" s="144"/>
      <c r="R80" s="144"/>
      <c r="S80" s="144"/>
      <c r="T80" s="144"/>
      <c r="U80" s="615"/>
      <c r="V80" s="144"/>
      <c r="W80" s="144"/>
      <c r="X80" s="144"/>
      <c r="Y80" s="144"/>
    </row>
    <row r="81" spans="1:25" ht="16.5" customHeight="1">
      <c r="A81" s="1"/>
      <c r="B81" s="164"/>
      <c r="C81" s="26"/>
      <c r="D81" s="35" t="str">
        <f>IF(D78=$Q$14,$R$11,IF(ROUNDDOWN(D78,0)=$Q$11,$S$11,$R$11))</f>
        <v>■レベル　3</v>
      </c>
      <c r="E81" s="174" t="s">
        <v>836</v>
      </c>
      <c r="F81" s="774"/>
      <c r="G81" s="774"/>
      <c r="H81" s="774"/>
      <c r="I81" s="774"/>
      <c r="J81" s="774"/>
      <c r="K81" s="774"/>
      <c r="L81" s="774"/>
      <c r="M81" s="775"/>
      <c r="N81" s="1"/>
      <c r="O81" s="142"/>
      <c r="P81" s="584">
        <f>$Q$11</f>
        <v>3</v>
      </c>
      <c r="Q81" s="144"/>
      <c r="R81" s="144"/>
      <c r="S81" s="144"/>
      <c r="T81" s="144"/>
      <c r="U81" s="615"/>
      <c r="V81" s="144"/>
      <c r="W81" s="144"/>
      <c r="X81" s="144"/>
      <c r="Y81" s="144"/>
    </row>
    <row r="82" spans="1:25" ht="16.5" customHeight="1">
      <c r="A82" s="1"/>
      <c r="B82" s="164"/>
      <c r="C82" s="26"/>
      <c r="D82" s="35" t="str">
        <f>IF(D78=$Q$14,$R$12,IF(ROUNDDOWN(D78,0)=$Q$12,$S$12,$R$12))</f>
        <v>　レベル　4</v>
      </c>
      <c r="E82" s="174" t="s">
        <v>837</v>
      </c>
      <c r="F82" s="774"/>
      <c r="G82" s="774"/>
      <c r="H82" s="774"/>
      <c r="I82" s="774"/>
      <c r="J82" s="774"/>
      <c r="K82" s="774"/>
      <c r="L82" s="774"/>
      <c r="M82" s="775"/>
      <c r="N82" s="1"/>
      <c r="O82" s="142"/>
      <c r="P82" s="584">
        <f>$Q$12</f>
        <v>4</v>
      </c>
      <c r="Q82" s="144"/>
      <c r="R82" s="144"/>
      <c r="S82" s="144"/>
      <c r="T82" s="144"/>
      <c r="U82" s="615"/>
      <c r="V82" s="144"/>
      <c r="W82" s="144"/>
      <c r="X82" s="144"/>
      <c r="Y82" s="144"/>
    </row>
    <row r="83" spans="1:25" ht="16.5" customHeight="1">
      <c r="A83" s="1"/>
      <c r="B83" s="164"/>
      <c r="C83" s="26"/>
      <c r="D83" s="33" t="str">
        <f>IF(D78=$Q$14,$R$13,IF(ROUNDDOWN(D78,0)=$Q$13,$S$13,$R$13))</f>
        <v>　レベル　5</v>
      </c>
      <c r="E83" s="778" t="s">
        <v>838</v>
      </c>
      <c r="F83" s="776"/>
      <c r="G83" s="776"/>
      <c r="H83" s="776"/>
      <c r="I83" s="776"/>
      <c r="J83" s="776"/>
      <c r="K83" s="776"/>
      <c r="L83" s="776"/>
      <c r="M83" s="777"/>
      <c r="N83" s="1"/>
      <c r="O83" s="142"/>
      <c r="P83" s="584">
        <f>$Q$13</f>
        <v>5</v>
      </c>
      <c r="Q83" s="144"/>
      <c r="R83" s="144"/>
      <c r="S83" s="144"/>
      <c r="T83" s="144"/>
      <c r="U83" s="615"/>
      <c r="V83" s="144"/>
      <c r="W83" s="144"/>
      <c r="X83" s="144"/>
      <c r="Y83" s="144"/>
    </row>
    <row r="84" spans="1:25" s="144" customFormat="1" ht="8.25" customHeight="1">
      <c r="A84" s="51"/>
      <c r="B84" s="164"/>
      <c r="C84" s="607"/>
      <c r="D84" s="309"/>
      <c r="E84" s="309"/>
      <c r="F84" s="1"/>
      <c r="G84" s="1"/>
      <c r="H84" s="1"/>
      <c r="I84" s="1"/>
      <c r="J84" s="1"/>
      <c r="K84" s="1"/>
      <c r="L84" s="1"/>
      <c r="M84" s="1"/>
      <c r="N84" s="150"/>
      <c r="P84" s="584" t="s">
        <v>60</v>
      </c>
      <c r="Q84" s="324" t="s">
        <v>82</v>
      </c>
      <c r="R84" s="4"/>
      <c r="S84" s="4"/>
      <c r="T84" s="132"/>
    </row>
    <row r="85" spans="1:25" s="144" customFormat="1" ht="21" customHeight="1">
      <c r="A85" s="51"/>
      <c r="B85" s="164"/>
      <c r="C85" s="607"/>
      <c r="E85" s="781" t="s">
        <v>3</v>
      </c>
      <c r="F85" s="782"/>
      <c r="G85" s="1201"/>
      <c r="H85" s="1201"/>
      <c r="I85" s="2388"/>
      <c r="J85" s="2389"/>
      <c r="K85" s="2389"/>
      <c r="L85" s="2389"/>
      <c r="M85" s="2390"/>
      <c r="N85" s="150"/>
      <c r="P85" s="615"/>
      <c r="Q85" s="324"/>
      <c r="R85" s="4"/>
      <c r="S85" s="4"/>
      <c r="T85" s="132"/>
      <c r="U85" s="615"/>
      <c r="V85" s="132"/>
      <c r="W85" s="132"/>
      <c r="X85" s="132"/>
      <c r="Y85" s="132"/>
    </row>
    <row r="86" spans="1:25" ht="20.25" customHeight="1">
      <c r="A86" s="1"/>
      <c r="B86" s="164"/>
      <c r="C86" s="26"/>
      <c r="D86" s="26"/>
      <c r="E86" s="51"/>
      <c r="F86" s="51"/>
      <c r="G86" s="51"/>
      <c r="H86" s="51"/>
      <c r="I86" s="36"/>
      <c r="J86" s="36"/>
      <c r="K86" s="133"/>
      <c r="L86" s="133"/>
      <c r="M86" s="133"/>
      <c r="N86" s="1"/>
      <c r="O86" s="142"/>
      <c r="P86" s="380"/>
      <c r="Q86" s="142"/>
      <c r="R86" s="144"/>
      <c r="S86" s="144"/>
      <c r="T86" s="144"/>
      <c r="U86" s="380"/>
      <c r="V86" s="144"/>
      <c r="W86" s="144"/>
      <c r="X86" s="144"/>
      <c r="Y86" s="144"/>
    </row>
    <row r="87" spans="1:25" s="325" customFormat="1" ht="14.25" customHeight="1">
      <c r="A87" s="23"/>
      <c r="B87" s="36">
        <v>2</v>
      </c>
      <c r="C87" s="30" t="s">
        <v>492</v>
      </c>
      <c r="D87" s="30"/>
      <c r="E87" s="147"/>
      <c r="F87" s="147"/>
      <c r="G87" s="147"/>
      <c r="H87" s="147"/>
      <c r="I87" s="147"/>
      <c r="J87" s="147"/>
      <c r="K87" s="147"/>
      <c r="L87" s="147"/>
      <c r="M87" s="147"/>
      <c r="N87" s="23"/>
    </row>
    <row r="88" spans="1:25" s="325" customFormat="1" ht="17.25" customHeight="1">
      <c r="A88" s="23"/>
      <c r="B88" s="36">
        <v>2.1</v>
      </c>
      <c r="C88" s="30" t="s">
        <v>494</v>
      </c>
      <c r="D88" s="30"/>
      <c r="E88" s="147"/>
      <c r="F88" s="147"/>
      <c r="G88" s="147"/>
      <c r="H88" s="147"/>
      <c r="I88" s="147"/>
      <c r="J88" s="147"/>
      <c r="K88" s="147"/>
      <c r="L88" s="147"/>
      <c r="M88" s="147"/>
      <c r="N88" s="23"/>
    </row>
    <row r="89" spans="1:25" s="325" customFormat="1" ht="17.25" customHeight="1" thickBot="1">
      <c r="A89" s="23"/>
      <c r="B89" s="30"/>
      <c r="C89" s="30"/>
      <c r="D89" s="30"/>
      <c r="E89" s="147"/>
      <c r="F89" s="147"/>
      <c r="G89" s="147"/>
      <c r="H89" s="147"/>
      <c r="I89" s="147"/>
      <c r="J89" s="147"/>
      <c r="K89" s="147"/>
      <c r="L89" s="147"/>
      <c r="M89" s="147"/>
      <c r="N89" s="23"/>
    </row>
    <row r="90" spans="1:25" s="325" customFormat="1" ht="16.5" customHeight="1" thickBot="1">
      <c r="A90" s="23"/>
      <c r="D90" s="1051">
        <f>IF(D91+L102&lt;=5,D91+L102,5)</f>
        <v>3</v>
      </c>
      <c r="E90" s="310"/>
      <c r="F90" s="147"/>
      <c r="G90" s="148"/>
      <c r="H90" s="147"/>
      <c r="I90" s="147"/>
      <c r="J90" s="147"/>
      <c r="K90" s="147"/>
      <c r="L90" s="176" t="s">
        <v>2</v>
      </c>
      <c r="M90" s="48">
        <f>重み!M39</f>
        <v>0.65</v>
      </c>
      <c r="N90" s="23"/>
      <c r="O90" s="144" t="str">
        <f>C88</f>
        <v>維持管理のしやすさ</v>
      </c>
      <c r="P90" s="144">
        <f>D88</f>
        <v>0</v>
      </c>
      <c r="Q90" s="144">
        <f t="shared" ref="Q90:Y90" si="2">E90</f>
        <v>0</v>
      </c>
      <c r="R90" s="144">
        <f t="shared" si="2"/>
        <v>0</v>
      </c>
      <c r="S90" s="144">
        <f t="shared" si="2"/>
        <v>0</v>
      </c>
      <c r="T90" s="144">
        <f t="shared" si="2"/>
        <v>0</v>
      </c>
      <c r="U90" s="144">
        <f t="shared" si="2"/>
        <v>0</v>
      </c>
      <c r="V90" s="144">
        <f t="shared" si="2"/>
        <v>0</v>
      </c>
      <c r="W90" s="144">
        <f t="shared" si="2"/>
        <v>0</v>
      </c>
      <c r="X90" s="144" t="str">
        <f t="shared" si="2"/>
        <v>重み係数＝</v>
      </c>
      <c r="Y90" s="144">
        <f t="shared" si="2"/>
        <v>0.65</v>
      </c>
    </row>
    <row r="91" spans="1:25" ht="16.5" customHeight="1" thickBot="1">
      <c r="A91" s="1"/>
      <c r="B91" s="164"/>
      <c r="C91" s="28"/>
      <c r="D91" s="1049">
        <v>3</v>
      </c>
      <c r="E91" s="2391" t="s">
        <v>391</v>
      </c>
      <c r="F91" s="2392"/>
      <c r="G91" s="2392"/>
      <c r="H91" s="2392"/>
      <c r="I91" s="2392"/>
      <c r="J91" s="2392"/>
      <c r="K91" s="2392"/>
      <c r="L91" s="2392"/>
      <c r="M91" s="2393"/>
      <c r="N91" s="1"/>
      <c r="O91" s="142"/>
      <c r="P91" s="144"/>
      <c r="Q91" s="142"/>
      <c r="R91" s="144"/>
      <c r="S91" s="144"/>
      <c r="T91" s="144"/>
      <c r="U91" s="144"/>
      <c r="V91" s="144"/>
      <c r="W91" s="144"/>
      <c r="X91" s="144"/>
      <c r="Y91" s="144"/>
    </row>
    <row r="92" spans="1:25" ht="16.5" customHeight="1">
      <c r="A92" s="1"/>
      <c r="B92" s="164"/>
      <c r="C92" s="28"/>
      <c r="D92" s="32" t="str">
        <f>IF(D91=$Q$14,$R$9,IF(ROUNDDOWN(D91,0)=$Q$9,$S$9,$R$9))</f>
        <v>　レベル　1</v>
      </c>
      <c r="E92" s="541" t="s">
        <v>643</v>
      </c>
      <c r="F92" s="779"/>
      <c r="G92" s="779"/>
      <c r="H92" s="779"/>
      <c r="I92" s="779"/>
      <c r="J92" s="779"/>
      <c r="K92" s="779"/>
      <c r="L92" s="779"/>
      <c r="M92" s="780"/>
      <c r="N92" s="1"/>
      <c r="O92" s="142"/>
      <c r="P92" s="584">
        <f>$Q$9</f>
        <v>1</v>
      </c>
      <c r="Q92" s="142"/>
      <c r="R92" s="144"/>
      <c r="S92" s="144"/>
      <c r="T92" s="144"/>
      <c r="U92" s="584">
        <f>$Q$9</f>
        <v>1</v>
      </c>
      <c r="V92" s="144"/>
      <c r="W92" s="144"/>
      <c r="X92" s="144"/>
      <c r="Y92" s="144"/>
    </row>
    <row r="93" spans="1:25" ht="16.5" customHeight="1">
      <c r="A93" s="1"/>
      <c r="B93" s="164"/>
      <c r="C93" s="28"/>
      <c r="D93" s="35" t="str">
        <f>IF(D91=$Q$14,$R$10,IF(ROUNDDOWN(D91,0)=$Q$10,$S$10,$R$10))</f>
        <v>　レベル　2</v>
      </c>
      <c r="E93" s="535" t="s">
        <v>647</v>
      </c>
      <c r="F93" s="534"/>
      <c r="G93" s="534"/>
      <c r="H93" s="534"/>
      <c r="I93" s="534"/>
      <c r="J93" s="534"/>
      <c r="K93" s="534"/>
      <c r="L93" s="534"/>
      <c r="M93" s="538"/>
      <c r="N93" s="1"/>
      <c r="O93" s="142"/>
      <c r="P93" s="584" t="s">
        <v>809</v>
      </c>
      <c r="Q93" s="142"/>
      <c r="R93" s="144"/>
      <c r="S93" s="144"/>
      <c r="T93" s="144"/>
      <c r="U93" s="584">
        <f>$Q$10</f>
        <v>2</v>
      </c>
      <c r="V93" s="144"/>
      <c r="W93" s="144"/>
      <c r="X93" s="144"/>
      <c r="Y93" s="144"/>
    </row>
    <row r="94" spans="1:25" ht="16.5" customHeight="1">
      <c r="A94" s="1"/>
      <c r="B94" s="164"/>
      <c r="C94" s="28"/>
      <c r="D94" s="35" t="str">
        <f>IF(D91=$Q$14,$R$11,IF(ROUNDDOWN(D91,0)=$Q$11,$S$11,$R$11))</f>
        <v>■レベル　3</v>
      </c>
      <c r="E94" s="535" t="s">
        <v>644</v>
      </c>
      <c r="F94" s="790"/>
      <c r="G94" s="790"/>
      <c r="H94" s="790"/>
      <c r="I94" s="790"/>
      <c r="J94" s="790"/>
      <c r="K94" s="790"/>
      <c r="L94" s="790"/>
      <c r="M94" s="791"/>
      <c r="N94" s="1"/>
      <c r="O94" s="142"/>
      <c r="P94" s="584">
        <f>$Q$11</f>
        <v>3</v>
      </c>
      <c r="Q94" s="142"/>
      <c r="R94" s="144"/>
      <c r="S94" s="144"/>
      <c r="T94" s="144"/>
      <c r="U94" s="584">
        <f>$Q$11</f>
        <v>3</v>
      </c>
      <c r="V94" s="144"/>
      <c r="W94" s="144"/>
      <c r="X94" s="144"/>
      <c r="Y94" s="144"/>
    </row>
    <row r="95" spans="1:25" ht="16.5" customHeight="1">
      <c r="A95" s="1"/>
      <c r="B95" s="164"/>
      <c r="C95" s="28"/>
      <c r="D95" s="35" t="str">
        <f>IF(D91=$Q$14,$R$12,IF(ROUNDDOWN(D91,0)=$Q$12,$S$12,$R$12))</f>
        <v>　レベル　4</v>
      </c>
      <c r="E95" s="535" t="s">
        <v>645</v>
      </c>
      <c r="F95" s="790"/>
      <c r="G95" s="790"/>
      <c r="H95" s="790"/>
      <c r="I95" s="790"/>
      <c r="J95" s="790"/>
      <c r="K95" s="790"/>
      <c r="L95" s="790"/>
      <c r="M95" s="791"/>
      <c r="N95" s="1"/>
      <c r="O95" s="142"/>
      <c r="P95" s="584">
        <f>$Q$12</f>
        <v>4</v>
      </c>
      <c r="Q95" s="142"/>
      <c r="R95" s="144"/>
      <c r="S95" s="144"/>
      <c r="T95" s="144"/>
      <c r="U95" s="584">
        <f>$Q$12</f>
        <v>4</v>
      </c>
      <c r="V95" s="144"/>
      <c r="W95" s="144"/>
      <c r="X95" s="144"/>
      <c r="Y95" s="144"/>
    </row>
    <row r="96" spans="1:25" ht="16.5" customHeight="1">
      <c r="A96" s="1"/>
      <c r="B96" s="164"/>
      <c r="C96" s="28"/>
      <c r="D96" s="33" t="str">
        <f>IF(D91=$Q$14,$R$13,IF(ROUNDDOWN(D91,0)=$Q$13,$S$13,$R$13))</f>
        <v>　レベル　5</v>
      </c>
      <c r="E96" s="561" t="s">
        <v>646</v>
      </c>
      <c r="F96" s="587"/>
      <c r="G96" s="587"/>
      <c r="H96" s="587"/>
      <c r="I96" s="587"/>
      <c r="J96" s="587"/>
      <c r="K96" s="587"/>
      <c r="L96" s="587"/>
      <c r="M96" s="588"/>
      <c r="N96" s="1"/>
      <c r="O96" s="142"/>
      <c r="P96" s="584" t="s">
        <v>379</v>
      </c>
      <c r="Q96" s="142"/>
      <c r="R96" s="144"/>
      <c r="S96" s="144"/>
      <c r="T96" s="144"/>
      <c r="U96" s="584">
        <f>$Q$13</f>
        <v>5</v>
      </c>
      <c r="V96" s="144"/>
      <c r="W96" s="144"/>
      <c r="X96" s="144"/>
      <c r="Y96" s="144"/>
    </row>
    <row r="97" spans="1:25" ht="16.5" customHeight="1" thickBot="1">
      <c r="A97" s="1"/>
      <c r="B97" s="164"/>
      <c r="C97" s="26"/>
      <c r="D97" s="26"/>
      <c r="E97" s="1058" t="s">
        <v>360</v>
      </c>
      <c r="F97" s="1"/>
      <c r="G97" s="1"/>
      <c r="H97" s="1"/>
      <c r="I97" s="1"/>
      <c r="J97" s="1"/>
      <c r="K97" s="1"/>
      <c r="L97" s="1"/>
      <c r="M97" s="1"/>
      <c r="N97" s="1"/>
      <c r="O97" s="142"/>
      <c r="P97" s="584" t="s">
        <v>60</v>
      </c>
      <c r="Q97" s="142"/>
      <c r="R97" s="144"/>
      <c r="S97" s="144"/>
      <c r="T97" s="144"/>
      <c r="U97" s="584" t="str">
        <f>$Q$14</f>
        <v>対象外</v>
      </c>
      <c r="V97" s="144"/>
      <c r="W97" s="144"/>
      <c r="X97" s="144"/>
      <c r="Y97" s="144"/>
    </row>
    <row r="98" spans="1:25" ht="22.5" customHeight="1">
      <c r="A98" s="1"/>
      <c r="B98" s="164"/>
      <c r="C98" s="26"/>
      <c r="D98" s="26"/>
      <c r="E98" s="375"/>
      <c r="F98" s="2422" t="s">
        <v>9</v>
      </c>
      <c r="G98" s="574" t="s">
        <v>4</v>
      </c>
      <c r="H98" s="541" t="s">
        <v>380</v>
      </c>
      <c r="I98" s="573"/>
      <c r="J98" s="573"/>
      <c r="K98" s="573"/>
      <c r="L98" s="573"/>
      <c r="M98" s="529"/>
      <c r="N98" s="1"/>
      <c r="O98" s="142"/>
      <c r="Q98" s="142"/>
      <c r="R98" s="144"/>
      <c r="S98" s="144"/>
      <c r="T98" s="144"/>
      <c r="U98" s="615"/>
      <c r="V98" s="144"/>
      <c r="W98" s="144"/>
      <c r="X98" s="144"/>
      <c r="Y98" s="144"/>
    </row>
    <row r="99" spans="1:25" ht="24" customHeight="1">
      <c r="A99" s="1"/>
      <c r="B99" s="164"/>
      <c r="C99" s="26"/>
      <c r="D99" s="26"/>
      <c r="E99" s="805"/>
      <c r="F99" s="2423"/>
      <c r="G99" s="576" t="s">
        <v>8</v>
      </c>
      <c r="H99" s="561" t="s">
        <v>1135</v>
      </c>
      <c r="I99" s="772"/>
      <c r="J99" s="772"/>
      <c r="K99" s="772"/>
      <c r="L99" s="772"/>
      <c r="M99" s="773"/>
      <c r="N99" s="1"/>
      <c r="O99" s="142"/>
      <c r="P99" s="4">
        <f>COUNTIF(E98:E99,U3)</f>
        <v>0</v>
      </c>
      <c r="Q99" s="142"/>
      <c r="R99" s="144"/>
      <c r="S99" s="144"/>
      <c r="T99" s="144"/>
      <c r="U99" s="615"/>
      <c r="V99" s="144"/>
      <c r="W99" s="144"/>
      <c r="X99" s="144"/>
      <c r="Y99" s="144"/>
    </row>
    <row r="100" spans="1:25" ht="54.75" customHeight="1">
      <c r="A100" s="1"/>
      <c r="B100" s="164"/>
      <c r="C100" s="26"/>
      <c r="D100" s="26"/>
      <c r="E100" s="808"/>
      <c r="F100" s="2422" t="s">
        <v>10</v>
      </c>
      <c r="G100" s="574" t="s">
        <v>4</v>
      </c>
      <c r="H100" s="2400" t="s">
        <v>1136</v>
      </c>
      <c r="I100" s="2401"/>
      <c r="J100" s="2401"/>
      <c r="K100" s="2401"/>
      <c r="L100" s="2401"/>
      <c r="M100" s="2402"/>
      <c r="N100" s="1"/>
      <c r="O100" s="142"/>
      <c r="P100" s="615"/>
      <c r="Q100" s="142"/>
      <c r="R100" s="144"/>
      <c r="S100" s="144"/>
      <c r="T100" s="144"/>
      <c r="U100" s="615"/>
      <c r="V100" s="144"/>
      <c r="W100" s="144"/>
      <c r="X100" s="144"/>
      <c r="Y100" s="144"/>
    </row>
    <row r="101" spans="1:25" ht="33.75" customHeight="1" thickBot="1">
      <c r="A101" s="1"/>
      <c r="B101" s="164"/>
      <c r="C101" s="26"/>
      <c r="D101" s="26"/>
      <c r="E101" s="571"/>
      <c r="F101" s="2423"/>
      <c r="G101" s="576" t="s">
        <v>8</v>
      </c>
      <c r="H101" s="2403" t="s">
        <v>1137</v>
      </c>
      <c r="I101" s="2404"/>
      <c r="J101" s="2404"/>
      <c r="K101" s="2404"/>
      <c r="L101" s="2404"/>
      <c r="M101" s="2405"/>
      <c r="N101" s="1"/>
      <c r="O101" s="142"/>
      <c r="P101" s="4">
        <f>COUNTIF(E100:E101,U3)</f>
        <v>0</v>
      </c>
      <c r="Q101" s="142"/>
      <c r="R101" s="144"/>
      <c r="S101" s="144"/>
      <c r="T101" s="144"/>
      <c r="U101" s="615"/>
      <c r="V101" s="144"/>
      <c r="W101" s="144"/>
      <c r="X101" s="144"/>
      <c r="Y101" s="144"/>
    </row>
    <row r="102" spans="1:25" ht="17.25" customHeight="1">
      <c r="A102" s="1"/>
      <c r="B102" s="164"/>
      <c r="C102" s="26"/>
      <c r="D102" s="26"/>
      <c r="E102" s="806"/>
      <c r="F102" s="528"/>
      <c r="G102" s="528"/>
      <c r="H102" s="528"/>
      <c r="I102" s="528"/>
      <c r="J102" s="528"/>
      <c r="K102" s="528" t="s">
        <v>377</v>
      </c>
      <c r="L102" s="1057">
        <f>IF(P99&gt;0,1,0)+IF(P101&gt;0,1,0)</f>
        <v>0</v>
      </c>
      <c r="M102" s="527" t="s">
        <v>378</v>
      </c>
      <c r="N102" s="1"/>
      <c r="O102" s="142"/>
      <c r="P102" s="615"/>
      <c r="Q102" s="142"/>
      <c r="R102" s="144"/>
      <c r="S102" s="144"/>
      <c r="T102" s="144"/>
      <c r="U102" s="615"/>
      <c r="V102" s="144"/>
      <c r="W102" s="144"/>
      <c r="X102" s="144"/>
      <c r="Y102" s="144"/>
    </row>
    <row r="103" spans="1:25" s="144" customFormat="1" ht="8.25" customHeight="1">
      <c r="A103" s="51"/>
      <c r="B103" s="164"/>
      <c r="C103" s="607"/>
      <c r="D103" s="309"/>
      <c r="E103" s="309"/>
      <c r="F103" s="1"/>
      <c r="G103" s="1"/>
      <c r="H103" s="1"/>
      <c r="I103" s="1"/>
      <c r="J103" s="1"/>
      <c r="K103" s="1"/>
      <c r="L103" s="1"/>
      <c r="M103" s="1"/>
      <c r="N103" s="150"/>
      <c r="P103" s="584" t="s">
        <v>60</v>
      </c>
      <c r="Q103" s="324" t="s">
        <v>82</v>
      </c>
      <c r="R103" s="4"/>
      <c r="S103" s="4"/>
      <c r="T103" s="132"/>
    </row>
    <row r="104" spans="1:25" s="144" customFormat="1" ht="21" customHeight="1">
      <c r="A104" s="51"/>
      <c r="B104" s="164"/>
      <c r="C104" s="607"/>
      <c r="E104" s="781" t="s">
        <v>3</v>
      </c>
      <c r="F104" s="782"/>
      <c r="G104" s="1201"/>
      <c r="H104" s="1201"/>
      <c r="I104" s="2388"/>
      <c r="J104" s="2389"/>
      <c r="K104" s="2389"/>
      <c r="L104" s="2389"/>
      <c r="M104" s="2390"/>
      <c r="N104" s="150"/>
      <c r="P104" s="615"/>
      <c r="Q104" s="324"/>
      <c r="R104" s="4"/>
      <c r="S104" s="4"/>
      <c r="T104" s="132"/>
      <c r="U104" s="615"/>
      <c r="V104" s="132"/>
      <c r="W104" s="132"/>
      <c r="X104" s="132"/>
      <c r="Y104" s="132"/>
    </row>
    <row r="105" spans="1:25" ht="14.25" customHeight="1">
      <c r="A105" s="1"/>
      <c r="B105" s="164"/>
      <c r="C105" s="26"/>
      <c r="D105" s="26"/>
      <c r="E105" s="309"/>
      <c r="F105" s="1"/>
      <c r="G105" s="1"/>
      <c r="H105" s="1"/>
      <c r="I105" s="1"/>
      <c r="J105" s="1"/>
      <c r="K105" s="1"/>
      <c r="L105" s="1"/>
      <c r="M105" s="1"/>
      <c r="N105" s="1"/>
      <c r="O105" s="142"/>
      <c r="P105" s="615"/>
      <c r="Q105" s="142"/>
      <c r="R105" s="144"/>
      <c r="S105" s="144"/>
      <c r="T105" s="144"/>
      <c r="U105" s="615"/>
      <c r="V105" s="144"/>
      <c r="W105" s="144"/>
      <c r="X105" s="144"/>
      <c r="Y105" s="144"/>
    </row>
    <row r="106" spans="1:25" s="325" customFormat="1" ht="14.25" customHeight="1">
      <c r="A106" s="23"/>
      <c r="B106" s="312">
        <v>2.2000000000000002</v>
      </c>
      <c r="C106" s="36" t="s">
        <v>129</v>
      </c>
      <c r="D106" s="36"/>
      <c r="E106" s="36"/>
      <c r="F106" s="310"/>
      <c r="G106" s="147"/>
      <c r="H106" s="147"/>
      <c r="I106" s="147"/>
      <c r="J106" s="147"/>
      <c r="K106" s="147"/>
      <c r="L106" s="147"/>
      <c r="M106" s="147"/>
      <c r="N106" s="23"/>
    </row>
    <row r="107" spans="1:25" ht="16.5" customHeight="1" thickBot="1">
      <c r="A107" s="1"/>
      <c r="B107" s="164"/>
      <c r="C107" s="28"/>
      <c r="D107" s="136"/>
      <c r="E107" s="413"/>
      <c r="F107" s="148"/>
      <c r="G107" s="5"/>
      <c r="H107" s="5"/>
      <c r="I107" s="147"/>
      <c r="J107" s="147"/>
      <c r="K107" s="147"/>
      <c r="L107" s="176" t="s">
        <v>2</v>
      </c>
      <c r="M107" s="48">
        <f>重み!M40</f>
        <v>0.35</v>
      </c>
      <c r="N107" s="6"/>
      <c r="O107" s="144">
        <f>C107</f>
        <v>0</v>
      </c>
      <c r="P107" s="144">
        <f>D107</f>
        <v>0</v>
      </c>
      <c r="Q107" s="144">
        <f>E107</f>
        <v>0</v>
      </c>
      <c r="R107" s="144">
        <f>F107</f>
        <v>0</v>
      </c>
      <c r="S107" s="144" t="str">
        <f>L107</f>
        <v>重み係数＝</v>
      </c>
      <c r="T107" s="144">
        <f t="shared" ref="T107:Y107" si="3">M107</f>
        <v>0.35</v>
      </c>
      <c r="U107" s="144">
        <f t="shared" si="3"/>
        <v>0</v>
      </c>
      <c r="V107" s="144">
        <f t="shared" si="3"/>
        <v>0</v>
      </c>
      <c r="W107" s="144">
        <f t="shared" si="3"/>
        <v>0</v>
      </c>
      <c r="X107" s="144">
        <f t="shared" si="3"/>
        <v>0</v>
      </c>
      <c r="Y107" s="144">
        <f t="shared" si="3"/>
        <v>0</v>
      </c>
    </row>
    <row r="108" spans="1:25" ht="16.5" customHeight="1" thickBot="1">
      <c r="A108" s="1"/>
      <c r="B108" s="164"/>
      <c r="C108" s="28"/>
      <c r="D108" s="1050">
        <f>ROUND(IF(F121=0,3,IF(F121&lt;=1,4,5)),0)</f>
        <v>3</v>
      </c>
      <c r="E108" s="2391" t="s">
        <v>391</v>
      </c>
      <c r="F108" s="2392"/>
      <c r="G108" s="2392"/>
      <c r="H108" s="2392"/>
      <c r="I108" s="2392"/>
      <c r="J108" s="2392"/>
      <c r="K108" s="2392"/>
      <c r="L108" s="2392"/>
      <c r="M108" s="2393"/>
      <c r="N108" s="1"/>
      <c r="O108" s="142"/>
      <c r="P108" s="144"/>
      <c r="Q108" s="142"/>
      <c r="R108" s="144"/>
      <c r="S108" s="144"/>
      <c r="T108" s="144"/>
      <c r="U108" s="144"/>
      <c r="V108" s="144"/>
      <c r="W108" s="144"/>
      <c r="X108" s="144"/>
      <c r="Y108" s="144"/>
    </row>
    <row r="109" spans="1:25" ht="16.5" customHeight="1">
      <c r="A109" s="1"/>
      <c r="B109" s="164"/>
      <c r="C109" s="28"/>
      <c r="D109" s="32" t="str">
        <f>IF(D108=$Q$14,$R$9,IF(ROUNDDOWN(D108,0)=$Q$9,$S$9,$R$9))</f>
        <v>　レベル　1</v>
      </c>
      <c r="E109" s="522" t="s">
        <v>383</v>
      </c>
      <c r="F109" s="580"/>
      <c r="G109" s="580"/>
      <c r="H109" s="580"/>
      <c r="I109" s="580"/>
      <c r="J109" s="580"/>
      <c r="K109" s="580"/>
      <c r="L109" s="580"/>
      <c r="M109" s="581"/>
      <c r="N109" s="1"/>
      <c r="O109" s="142"/>
      <c r="P109" s="584" t="s">
        <v>791</v>
      </c>
      <c r="Q109" s="142"/>
      <c r="R109" s="144"/>
      <c r="S109" s="144"/>
      <c r="T109" s="144"/>
      <c r="U109" s="584">
        <f>$Q$9</f>
        <v>1</v>
      </c>
      <c r="V109" s="144"/>
      <c r="W109" s="144"/>
      <c r="X109" s="144"/>
      <c r="Y109" s="144"/>
    </row>
    <row r="110" spans="1:25" ht="16.5" customHeight="1">
      <c r="A110" s="1"/>
      <c r="B110" s="164"/>
      <c r="C110" s="28"/>
      <c r="D110" s="35" t="str">
        <f>IF(D108=$Q$14,$R$10,IF(ROUNDDOWN(D108,0)=$Q$10,$S$10,$R$10))</f>
        <v>　レベル　2</v>
      </c>
      <c r="E110" s="523" t="s">
        <v>383</v>
      </c>
      <c r="F110" s="582"/>
      <c r="G110" s="582"/>
      <c r="H110" s="582"/>
      <c r="I110" s="582"/>
      <c r="J110" s="582"/>
      <c r="K110" s="582"/>
      <c r="L110" s="582"/>
      <c r="M110" s="583"/>
      <c r="N110" s="1"/>
      <c r="O110" s="142"/>
      <c r="P110" s="584" t="s">
        <v>810</v>
      </c>
      <c r="Q110" s="142"/>
      <c r="R110" s="144"/>
      <c r="S110" s="144"/>
      <c r="T110" s="144"/>
      <c r="U110" s="584">
        <f>$Q$10</f>
        <v>2</v>
      </c>
      <c r="V110" s="144"/>
      <c r="W110" s="144"/>
      <c r="X110" s="144"/>
      <c r="Y110" s="144"/>
    </row>
    <row r="111" spans="1:25" ht="16.5" customHeight="1">
      <c r="A111" s="1"/>
      <c r="B111" s="164"/>
      <c r="C111" s="28"/>
      <c r="D111" s="35" t="str">
        <f>IF(D108=$Q$14,$R$11,IF(ROUNDDOWN(D108,0)=$Q$11,$S$11,$R$11))</f>
        <v>■レベル　3</v>
      </c>
      <c r="E111" s="523" t="s">
        <v>11</v>
      </c>
      <c r="F111" s="582"/>
      <c r="G111" s="582"/>
      <c r="H111" s="582"/>
      <c r="I111" s="582"/>
      <c r="J111" s="582"/>
      <c r="K111" s="582"/>
      <c r="L111" s="582"/>
      <c r="M111" s="583"/>
      <c r="N111" s="1"/>
      <c r="O111" s="142"/>
      <c r="P111" s="584">
        <f>$Q$11</f>
        <v>3</v>
      </c>
      <c r="Q111" s="142"/>
      <c r="R111" s="144"/>
      <c r="S111" s="144"/>
      <c r="T111" s="144"/>
      <c r="U111" s="584">
        <f>$Q$11</f>
        <v>3</v>
      </c>
      <c r="V111" s="144"/>
      <c r="W111" s="144"/>
      <c r="X111" s="144"/>
      <c r="Y111" s="144"/>
    </row>
    <row r="112" spans="1:25" ht="16.5" customHeight="1">
      <c r="A112" s="1"/>
      <c r="B112" s="164"/>
      <c r="C112" s="28"/>
      <c r="D112" s="35" t="str">
        <f>IF(D108=$Q$14,$R$12,IF(ROUNDDOWN(D108,0)=$Q$12,$S$12,$R$12))</f>
        <v>　レベル　4</v>
      </c>
      <c r="E112" s="535" t="s">
        <v>12</v>
      </c>
      <c r="F112" s="585"/>
      <c r="G112" s="585"/>
      <c r="H112" s="585"/>
      <c r="I112" s="585"/>
      <c r="J112" s="585"/>
      <c r="K112" s="585"/>
      <c r="L112" s="585"/>
      <c r="M112" s="586"/>
      <c r="N112" s="1"/>
      <c r="O112" s="142"/>
      <c r="P112" s="584">
        <f>$Q$12</f>
        <v>4</v>
      </c>
      <c r="Q112" s="142"/>
      <c r="R112" s="144"/>
      <c r="S112" s="144"/>
      <c r="T112" s="144"/>
      <c r="U112" s="584">
        <f>$Q$12</f>
        <v>4</v>
      </c>
      <c r="V112" s="144"/>
      <c r="W112" s="144"/>
      <c r="X112" s="144"/>
      <c r="Y112" s="144"/>
    </row>
    <row r="113" spans="1:25" ht="16.5" customHeight="1">
      <c r="A113" s="1"/>
      <c r="B113" s="164"/>
      <c r="C113" s="28"/>
      <c r="D113" s="33" t="str">
        <f>IF(D108=$Q$14,$R$13,IF(ROUNDDOWN(D108,0)=$Q$13,$S$13,$R$13))</f>
        <v>　レベル　5</v>
      </c>
      <c r="E113" s="561" t="s">
        <v>13</v>
      </c>
      <c r="F113" s="587"/>
      <c r="G113" s="587"/>
      <c r="H113" s="587"/>
      <c r="I113" s="587"/>
      <c r="J113" s="587"/>
      <c r="K113" s="587"/>
      <c r="L113" s="587"/>
      <c r="M113" s="588"/>
      <c r="N113" s="1"/>
      <c r="O113" s="142"/>
      <c r="P113" s="584">
        <f>$Q$13</f>
        <v>5</v>
      </c>
      <c r="Q113" s="142"/>
      <c r="R113" s="144"/>
      <c r="S113" s="144"/>
      <c r="T113" s="144"/>
      <c r="U113" s="584">
        <f>$Q$13</f>
        <v>5</v>
      </c>
      <c r="V113" s="144"/>
      <c r="W113" s="144"/>
      <c r="X113" s="144"/>
      <c r="Y113" s="144"/>
    </row>
    <row r="114" spans="1:25" ht="16.5" customHeight="1">
      <c r="A114" s="1"/>
      <c r="B114" s="164"/>
      <c r="C114" s="28"/>
      <c r="D114" s="26"/>
      <c r="E114" s="152" t="s">
        <v>32</v>
      </c>
      <c r="F114" s="51"/>
      <c r="G114" s="151"/>
      <c r="H114" s="40"/>
      <c r="I114" s="40"/>
      <c r="J114" s="51"/>
      <c r="K114" s="51"/>
      <c r="L114" s="51"/>
      <c r="M114" s="51"/>
      <c r="N114" s="1"/>
      <c r="O114" s="142"/>
      <c r="P114" s="584" t="s">
        <v>60</v>
      </c>
      <c r="Q114" s="142"/>
      <c r="R114" s="144"/>
      <c r="S114" s="144"/>
      <c r="T114" s="144"/>
      <c r="U114" s="584" t="str">
        <f>$Q$14</f>
        <v>対象外</v>
      </c>
      <c r="V114" s="144"/>
      <c r="W114" s="144"/>
      <c r="X114" s="144"/>
      <c r="Y114" s="144"/>
    </row>
    <row r="115" spans="1:25" ht="16.5" thickBot="1">
      <c r="A115" s="1"/>
      <c r="B115" s="164"/>
      <c r="C115" s="28"/>
      <c r="D115" s="26"/>
      <c r="E115" s="140" t="s">
        <v>331</v>
      </c>
      <c r="F115" s="511" t="s">
        <v>70</v>
      </c>
      <c r="G115" s="2426" t="s">
        <v>667</v>
      </c>
      <c r="H115" s="2427"/>
      <c r="I115" s="2427"/>
      <c r="J115" s="2427"/>
      <c r="K115" s="2427"/>
      <c r="L115" s="2427"/>
      <c r="M115" s="2428"/>
      <c r="N115" s="1"/>
      <c r="O115" s="142"/>
      <c r="P115" s="615"/>
      <c r="Q115" s="142"/>
      <c r="R115" s="144"/>
      <c r="S115" s="144"/>
      <c r="T115" s="144"/>
      <c r="U115" s="615"/>
      <c r="V115" s="144"/>
      <c r="W115" s="144"/>
      <c r="X115" s="144"/>
      <c r="Y115" s="144"/>
    </row>
    <row r="116" spans="1:25">
      <c r="A116" s="1"/>
      <c r="B116" s="164"/>
      <c r="C116" s="28"/>
      <c r="D116" s="26"/>
      <c r="E116" s="375"/>
      <c r="F116" s="512">
        <v>1</v>
      </c>
      <c r="G116" s="541" t="s">
        <v>711</v>
      </c>
      <c r="H116" s="542"/>
      <c r="I116" s="542"/>
      <c r="J116" s="542"/>
      <c r="K116" s="542"/>
      <c r="L116" s="542"/>
      <c r="M116" s="530"/>
      <c r="N116" s="1"/>
      <c r="O116" s="142"/>
      <c r="P116" s="615"/>
      <c r="Q116" s="142"/>
      <c r="R116" s="144"/>
      <c r="S116" s="144"/>
      <c r="T116" s="144"/>
      <c r="U116" s="615"/>
      <c r="V116" s="144"/>
      <c r="W116" s="144"/>
      <c r="X116" s="144"/>
      <c r="Y116" s="144"/>
    </row>
    <row r="117" spans="1:25">
      <c r="A117" s="1"/>
      <c r="B117" s="164"/>
      <c r="C117" s="28"/>
      <c r="D117" s="26"/>
      <c r="E117" s="769"/>
      <c r="F117" s="548">
        <v>2</v>
      </c>
      <c r="G117" s="536" t="s">
        <v>1138</v>
      </c>
      <c r="H117" s="537"/>
      <c r="I117" s="537"/>
      <c r="J117" s="537"/>
      <c r="K117" s="537"/>
      <c r="L117" s="537"/>
      <c r="M117" s="539"/>
      <c r="N117" s="1"/>
      <c r="O117" s="142"/>
      <c r="P117" s="615"/>
      <c r="Q117" s="142"/>
      <c r="R117" s="144"/>
      <c r="S117" s="144"/>
      <c r="T117" s="144"/>
      <c r="U117" s="615"/>
      <c r="V117" s="144"/>
      <c r="W117" s="144"/>
      <c r="X117" s="144"/>
      <c r="Y117" s="144"/>
    </row>
    <row r="118" spans="1:25" ht="24" customHeight="1">
      <c r="A118" s="1"/>
      <c r="B118" s="164"/>
      <c r="C118" s="28"/>
      <c r="D118" s="26"/>
      <c r="E118" s="533"/>
      <c r="F118" s="548">
        <v>3</v>
      </c>
      <c r="G118" s="2417" t="s">
        <v>1139</v>
      </c>
      <c r="H118" s="2429"/>
      <c r="I118" s="2429"/>
      <c r="J118" s="2429"/>
      <c r="K118" s="2429"/>
      <c r="L118" s="2429"/>
      <c r="M118" s="2430"/>
      <c r="N118" s="1"/>
      <c r="O118" s="142"/>
      <c r="P118" s="615"/>
      <c r="Q118" s="142"/>
      <c r="R118" s="144"/>
      <c r="S118" s="144"/>
      <c r="T118" s="144"/>
      <c r="U118" s="615"/>
      <c r="V118" s="144"/>
      <c r="W118" s="144"/>
      <c r="X118" s="144"/>
      <c r="Y118" s="144"/>
    </row>
    <row r="119" spans="1:25" ht="24" customHeight="1">
      <c r="A119" s="1"/>
      <c r="B119" s="164"/>
      <c r="C119" s="28"/>
      <c r="D119" s="26"/>
      <c r="E119" s="533"/>
      <c r="F119" s="548">
        <v>4</v>
      </c>
      <c r="G119" s="2417" t="s">
        <v>1140</v>
      </c>
      <c r="H119" s="2429"/>
      <c r="I119" s="2429"/>
      <c r="J119" s="2429"/>
      <c r="K119" s="2429"/>
      <c r="L119" s="2429"/>
      <c r="M119" s="2430"/>
      <c r="N119" s="1"/>
      <c r="O119" s="142"/>
      <c r="P119" s="615"/>
      <c r="Q119" s="142"/>
      <c r="R119" s="144"/>
      <c r="S119" s="144"/>
      <c r="T119" s="144"/>
      <c r="U119" s="615"/>
      <c r="V119" s="144"/>
      <c r="W119" s="144"/>
      <c r="X119" s="144"/>
      <c r="Y119" s="144"/>
    </row>
    <row r="120" spans="1:25" s="37" customFormat="1" ht="24" customHeight="1" thickBot="1">
      <c r="A120" s="26"/>
      <c r="B120" s="164"/>
      <c r="C120" s="28"/>
      <c r="D120" s="26"/>
      <c r="E120" s="1864"/>
      <c r="F120" s="139">
        <v>5</v>
      </c>
      <c r="G120" s="2414" t="s">
        <v>1006</v>
      </c>
      <c r="H120" s="2415"/>
      <c r="I120" s="2415"/>
      <c r="J120" s="2415"/>
      <c r="K120" s="2415"/>
      <c r="L120" s="2415"/>
      <c r="M120" s="2416"/>
      <c r="N120" s="26"/>
      <c r="O120" s="142"/>
      <c r="P120" s="1861"/>
      <c r="Q120" s="142"/>
      <c r="R120" s="144"/>
      <c r="S120" s="144"/>
      <c r="T120" s="144"/>
      <c r="U120" s="1861"/>
      <c r="V120" s="144"/>
      <c r="W120" s="144"/>
      <c r="X120" s="144"/>
      <c r="Y120" s="144"/>
    </row>
    <row r="121" spans="1:25" ht="20.25" customHeight="1">
      <c r="A121" s="1"/>
      <c r="B121" s="1021"/>
      <c r="C121" s="28"/>
      <c r="D121" s="26"/>
      <c r="E121" s="596" t="s">
        <v>456</v>
      </c>
      <c r="F121" s="1020">
        <f>COUNTIF(E116:E120,"○")</f>
        <v>0</v>
      </c>
      <c r="G121" s="1022"/>
      <c r="H121" s="1022"/>
      <c r="I121" s="370"/>
      <c r="J121" s="371"/>
      <c r="K121" s="370"/>
      <c r="L121" s="371"/>
      <c r="M121" s="372"/>
      <c r="N121" s="1"/>
      <c r="O121" s="142"/>
      <c r="P121" s="1023"/>
      <c r="Q121" s="142"/>
      <c r="R121" s="144"/>
      <c r="S121" s="144"/>
      <c r="T121" s="144"/>
      <c r="U121" s="1023"/>
      <c r="V121" s="144"/>
      <c r="W121" s="144"/>
      <c r="X121" s="144"/>
      <c r="Y121" s="144"/>
    </row>
    <row r="122" spans="1:25" s="144" customFormat="1" ht="8.25" customHeight="1">
      <c r="A122" s="51"/>
      <c r="B122" s="164"/>
      <c r="C122" s="607"/>
      <c r="D122" s="309"/>
      <c r="E122" s="309"/>
      <c r="F122" s="1"/>
      <c r="G122" s="1"/>
      <c r="H122" s="1"/>
      <c r="I122" s="1"/>
      <c r="J122" s="1"/>
      <c r="K122" s="1"/>
      <c r="L122" s="1"/>
      <c r="M122" s="1"/>
      <c r="N122" s="150"/>
      <c r="P122" s="584" t="s">
        <v>60</v>
      </c>
      <c r="Q122" s="324" t="s">
        <v>82</v>
      </c>
      <c r="R122" s="4"/>
      <c r="S122" s="4"/>
      <c r="T122" s="132"/>
    </row>
    <row r="123" spans="1:25" s="144" customFormat="1" ht="21" customHeight="1">
      <c r="A123" s="51"/>
      <c r="B123" s="164"/>
      <c r="C123" s="607"/>
      <c r="E123" s="781" t="s">
        <v>3</v>
      </c>
      <c r="F123" s="782"/>
      <c r="G123" s="1201"/>
      <c r="H123" s="1201"/>
      <c r="I123" s="2388"/>
      <c r="J123" s="2389"/>
      <c r="K123" s="2389"/>
      <c r="L123" s="2389"/>
      <c r="M123" s="2390"/>
      <c r="N123" s="150"/>
      <c r="P123" s="615"/>
      <c r="Q123" s="324"/>
      <c r="R123" s="4"/>
      <c r="S123" s="4"/>
      <c r="T123" s="132"/>
      <c r="U123" s="615"/>
      <c r="V123" s="132"/>
      <c r="W123" s="132"/>
      <c r="X123" s="132"/>
      <c r="Y123" s="132"/>
    </row>
    <row r="124" spans="1:25" ht="14.25" customHeight="1">
      <c r="A124" s="1"/>
      <c r="B124" s="164"/>
      <c r="C124" s="28"/>
      <c r="D124" s="26"/>
      <c r="E124" s="51"/>
      <c r="F124" s="51"/>
      <c r="G124" s="51"/>
      <c r="H124" s="51"/>
      <c r="I124" s="51"/>
      <c r="J124" s="51"/>
      <c r="K124" s="51"/>
      <c r="L124" s="51"/>
      <c r="M124" s="47"/>
      <c r="N124" s="1"/>
      <c r="O124" s="142"/>
      <c r="P124" s="615"/>
      <c r="Q124" s="142"/>
      <c r="R124" s="144"/>
      <c r="S124" s="144"/>
      <c r="T124" s="144"/>
      <c r="U124" s="615"/>
      <c r="V124" s="144"/>
      <c r="W124" s="144"/>
      <c r="X124" s="144"/>
      <c r="Y124" s="144"/>
    </row>
    <row r="125" spans="1:25" s="325" customFormat="1" ht="14.25" customHeight="1">
      <c r="A125" s="23"/>
      <c r="B125" s="164">
        <v>3</v>
      </c>
      <c r="C125" s="30" t="s">
        <v>332</v>
      </c>
      <c r="D125" s="30"/>
      <c r="E125" s="147"/>
      <c r="F125" s="147"/>
      <c r="G125" s="147"/>
      <c r="H125" s="147"/>
      <c r="I125" s="147"/>
      <c r="J125" s="147"/>
      <c r="K125" s="147"/>
      <c r="L125" s="147"/>
      <c r="M125" s="147"/>
      <c r="N125" s="23"/>
    </row>
    <row r="126" spans="1:25" s="325" customFormat="1" ht="14.25" customHeight="1">
      <c r="A126" s="23"/>
      <c r="B126" s="164">
        <v>3.1</v>
      </c>
      <c r="C126" s="30" t="s">
        <v>495</v>
      </c>
      <c r="D126" s="30"/>
      <c r="E126" s="310"/>
      <c r="F126" s="147"/>
      <c r="G126" s="147"/>
      <c r="H126" s="147"/>
      <c r="I126" s="147"/>
      <c r="J126" s="310"/>
      <c r="K126" s="147"/>
      <c r="L126" s="147"/>
      <c r="M126" s="147"/>
      <c r="N126" s="23"/>
    </row>
    <row r="127" spans="1:25" s="325" customFormat="1" ht="14.25" customHeight="1" thickBot="1">
      <c r="A127" s="23"/>
      <c r="B127" s="1060"/>
      <c r="C127" s="30"/>
      <c r="D127" s="30"/>
      <c r="E127" s="310"/>
      <c r="F127" s="147"/>
      <c r="G127" s="147"/>
      <c r="H127" s="147"/>
      <c r="I127" s="147"/>
      <c r="J127" s="310"/>
      <c r="K127" s="147"/>
      <c r="L127" s="147"/>
      <c r="M127" s="147"/>
      <c r="N127" s="23"/>
    </row>
    <row r="128" spans="1:25" ht="17.25" customHeight="1" thickBot="1">
      <c r="A128" s="1"/>
      <c r="B128" s="164"/>
      <c r="C128" s="38"/>
      <c r="D128" s="1051">
        <f>IF(D129+L139&lt;=5,D129+L139,5)</f>
        <v>3</v>
      </c>
      <c r="E128" s="413"/>
      <c r="F128" s="148"/>
      <c r="G128" s="5"/>
      <c r="H128" s="5"/>
      <c r="I128" s="601"/>
      <c r="J128" s="413"/>
      <c r="K128" s="148"/>
      <c r="L128" s="176" t="s">
        <v>2</v>
      </c>
      <c r="M128" s="48">
        <f>重み!M42</f>
        <v>0.5</v>
      </c>
      <c r="N128" s="6"/>
      <c r="O128" s="144">
        <f>C128</f>
        <v>0</v>
      </c>
      <c r="P128" s="144">
        <f>D128</f>
        <v>3</v>
      </c>
      <c r="Q128" s="144">
        <f>E128</f>
        <v>0</v>
      </c>
      <c r="R128" s="144">
        <f>F128</f>
        <v>0</v>
      </c>
      <c r="S128" s="144" t="str">
        <f>L128</f>
        <v>重み係数＝</v>
      </c>
      <c r="T128" s="144">
        <f t="shared" ref="T128:Y128" si="4">M128</f>
        <v>0.5</v>
      </c>
      <c r="U128" s="144">
        <f t="shared" si="4"/>
        <v>0</v>
      </c>
      <c r="V128" s="144">
        <f t="shared" si="4"/>
        <v>0</v>
      </c>
      <c r="W128" s="144">
        <f t="shared" si="4"/>
        <v>3</v>
      </c>
      <c r="X128" s="144">
        <f t="shared" si="4"/>
        <v>0</v>
      </c>
      <c r="Y128" s="144">
        <f t="shared" si="4"/>
        <v>0</v>
      </c>
    </row>
    <row r="129" spans="1:25" ht="17.25" customHeight="1">
      <c r="A129" s="1"/>
      <c r="B129" s="164"/>
      <c r="C129" s="38"/>
      <c r="D129" s="2424">
        <v>3</v>
      </c>
      <c r="E129" s="2391" t="s">
        <v>391</v>
      </c>
      <c r="F129" s="2392"/>
      <c r="G129" s="2392"/>
      <c r="H129" s="2392"/>
      <c r="I129" s="2392"/>
      <c r="J129" s="2392"/>
      <c r="K129" s="2392"/>
      <c r="L129" s="2392"/>
      <c r="M129" s="2393"/>
      <c r="N129" s="1"/>
      <c r="O129" s="142"/>
      <c r="P129" s="144"/>
      <c r="Q129" s="142"/>
      <c r="R129" s="144"/>
      <c r="S129" s="144"/>
      <c r="T129" s="144"/>
      <c r="U129" s="144"/>
      <c r="V129" s="144"/>
      <c r="W129" s="144"/>
      <c r="X129" s="144"/>
      <c r="Y129" s="144"/>
    </row>
    <row r="130" spans="1:25" ht="17.25" customHeight="1" thickBot="1">
      <c r="A130" s="1"/>
      <c r="B130" s="164"/>
      <c r="C130" s="38"/>
      <c r="D130" s="2425"/>
      <c r="E130" s="624" t="s">
        <v>798</v>
      </c>
      <c r="F130" s="622"/>
      <c r="G130" s="626" t="s">
        <v>663</v>
      </c>
      <c r="H130" s="623"/>
      <c r="I130" s="624" t="s">
        <v>176</v>
      </c>
      <c r="J130" s="137"/>
      <c r="K130" s="626" t="s">
        <v>180</v>
      </c>
      <c r="L130" s="138"/>
      <c r="M130" s="141"/>
      <c r="N130" s="1"/>
      <c r="O130" s="142"/>
      <c r="Q130" s="142"/>
      <c r="R130" s="144"/>
      <c r="S130" s="144"/>
      <c r="T130" s="144"/>
      <c r="V130" s="144"/>
      <c r="W130" s="144"/>
      <c r="X130" s="144"/>
      <c r="Y130" s="144"/>
    </row>
    <row r="131" spans="1:25" ht="17.25" customHeight="1">
      <c r="A131" s="1"/>
      <c r="B131" s="164"/>
      <c r="C131" s="46"/>
      <c r="D131" s="32" t="str">
        <f>IF(D129=$Q$14,$R$9,IF(ROUNDDOWN(D129,0)=$Q$9,$S$9,$R$9))</f>
        <v>　レベル　1</v>
      </c>
      <c r="E131" s="166" t="s">
        <v>383</v>
      </c>
      <c r="F131" s="49"/>
      <c r="G131" s="166" t="s">
        <v>383</v>
      </c>
      <c r="H131" s="49"/>
      <c r="I131" s="166" t="s">
        <v>383</v>
      </c>
      <c r="J131" s="49"/>
      <c r="K131" s="166" t="s">
        <v>383</v>
      </c>
      <c r="L131" s="49"/>
      <c r="M131" s="167"/>
      <c r="N131" s="1"/>
      <c r="O131" s="142"/>
      <c r="P131" s="584" t="s">
        <v>811</v>
      </c>
      <c r="Q131" s="142"/>
      <c r="R131" s="144"/>
      <c r="S131" s="144"/>
      <c r="T131" s="144"/>
      <c r="U131" s="584">
        <f>$Q$9</f>
        <v>1</v>
      </c>
      <c r="V131" s="144"/>
      <c r="W131" s="144"/>
      <c r="X131" s="144"/>
      <c r="Y131" s="144"/>
    </row>
    <row r="132" spans="1:25" ht="17.25" customHeight="1">
      <c r="A132" s="1"/>
      <c r="B132" s="164"/>
      <c r="C132" s="46"/>
      <c r="D132" s="35" t="str">
        <f>IF(D129=$Q$14,$R$10,IF(ROUNDDOWN(D129,0)=$Q$10,$S$10,$R$10))</f>
        <v>　レベル　2</v>
      </c>
      <c r="E132" s="168" t="s">
        <v>660</v>
      </c>
      <c r="F132" s="603"/>
      <c r="G132" s="168" t="s">
        <v>174</v>
      </c>
      <c r="H132" s="603"/>
      <c r="I132" s="168" t="s">
        <v>177</v>
      </c>
      <c r="J132" s="603"/>
      <c r="K132" s="168" t="s">
        <v>181</v>
      </c>
      <c r="L132" s="603"/>
      <c r="M132" s="169"/>
      <c r="N132" s="1"/>
      <c r="O132" s="142"/>
      <c r="P132" s="584">
        <f>$Q$10</f>
        <v>2</v>
      </c>
      <c r="Q132" s="142"/>
      <c r="R132" s="144"/>
      <c r="S132" s="144"/>
      <c r="T132" s="144"/>
      <c r="U132" s="584">
        <f>$Q$10</f>
        <v>2</v>
      </c>
      <c r="V132" s="144"/>
      <c r="W132" s="144"/>
      <c r="X132" s="144"/>
      <c r="Y132" s="144"/>
    </row>
    <row r="133" spans="1:25" ht="17.25" customHeight="1">
      <c r="A133" s="1"/>
      <c r="B133" s="164"/>
      <c r="C133" s="46"/>
      <c r="D133" s="35" t="str">
        <f>IF(D129=$Q$14,$R$11,IF(ROUNDDOWN(D129,0)=$Q$11,$S$11,$R$11))</f>
        <v>■レベル　3</v>
      </c>
      <c r="E133" s="168" t="s">
        <v>661</v>
      </c>
      <c r="F133" s="603"/>
      <c r="G133" s="168" t="s">
        <v>648</v>
      </c>
      <c r="H133" s="603"/>
      <c r="I133" s="168" t="s">
        <v>178</v>
      </c>
      <c r="J133" s="603"/>
      <c r="K133" s="168" t="s">
        <v>182</v>
      </c>
      <c r="L133" s="603"/>
      <c r="M133" s="169"/>
      <c r="N133" s="1"/>
      <c r="O133" s="142"/>
      <c r="P133" s="584">
        <f>$Q$11</f>
        <v>3</v>
      </c>
      <c r="Q133" s="142"/>
      <c r="R133" s="144"/>
      <c r="S133" s="144"/>
      <c r="T133" s="144"/>
      <c r="U133" s="584">
        <f>$Q$11</f>
        <v>3</v>
      </c>
      <c r="V133" s="144"/>
      <c r="W133" s="144"/>
      <c r="X133" s="144"/>
      <c r="Y133" s="144"/>
    </row>
    <row r="134" spans="1:25" ht="17.25" customHeight="1">
      <c r="A134" s="1"/>
      <c r="B134" s="164"/>
      <c r="C134" s="46"/>
      <c r="D134" s="35" t="str">
        <f>IF(D129=$Q$14,$R$12,IF(ROUNDDOWN(D129,0)=$Q$12,$S$12,$R$12))</f>
        <v>　レベル　4</v>
      </c>
      <c r="E134" s="168" t="s">
        <v>662</v>
      </c>
      <c r="F134" s="603"/>
      <c r="G134" s="168" t="s">
        <v>175</v>
      </c>
      <c r="H134" s="603"/>
      <c r="I134" s="168" t="s">
        <v>179</v>
      </c>
      <c r="J134" s="603"/>
      <c r="K134" s="168" t="s">
        <v>183</v>
      </c>
      <c r="L134" s="603"/>
      <c r="M134" s="169"/>
      <c r="N134" s="1"/>
      <c r="O134" s="142"/>
      <c r="P134" s="584">
        <f>$Q$12</f>
        <v>4</v>
      </c>
      <c r="Q134" s="142"/>
      <c r="R134" s="144"/>
      <c r="S134" s="144"/>
      <c r="T134" s="144"/>
      <c r="U134" s="584">
        <f>$Q$12</f>
        <v>4</v>
      </c>
      <c r="V134" s="144"/>
      <c r="W134" s="144"/>
      <c r="X134" s="144"/>
      <c r="Y134" s="144"/>
    </row>
    <row r="135" spans="1:25" ht="17.25" customHeight="1">
      <c r="A135" s="1"/>
      <c r="B135" s="164"/>
      <c r="C135" s="46"/>
      <c r="D135" s="33" t="str">
        <f>IF(D129=$Q$14,$R$13,IF(ROUNDDOWN(D129,0)=$Q$13,$S$13,$R$13))</f>
        <v>　レベル　5</v>
      </c>
      <c r="E135" s="170" t="s">
        <v>646</v>
      </c>
      <c r="F135" s="605"/>
      <c r="G135" s="170" t="s">
        <v>646</v>
      </c>
      <c r="H135" s="605"/>
      <c r="I135" s="170" t="s">
        <v>646</v>
      </c>
      <c r="J135" s="605"/>
      <c r="K135" s="170" t="s">
        <v>646</v>
      </c>
      <c r="L135" s="605"/>
      <c r="M135" s="171"/>
      <c r="N135" s="1"/>
      <c r="O135" s="142"/>
      <c r="P135" s="584" t="s">
        <v>60</v>
      </c>
      <c r="Q135" s="142"/>
      <c r="R135" s="144"/>
      <c r="S135" s="144"/>
      <c r="T135" s="144"/>
      <c r="U135" s="584">
        <f>$Q$13</f>
        <v>5</v>
      </c>
      <c r="V135" s="144"/>
      <c r="W135" s="144"/>
      <c r="X135" s="144"/>
      <c r="Y135" s="144"/>
    </row>
    <row r="136" spans="1:25" ht="19.5" customHeight="1" thickBot="1">
      <c r="A136" s="30"/>
      <c r="B136" s="30"/>
      <c r="C136" s="30"/>
      <c r="D136" s="30"/>
      <c r="E136" s="1058" t="s">
        <v>360</v>
      </c>
      <c r="F136" s="51"/>
      <c r="G136" s="51"/>
      <c r="H136" s="51"/>
      <c r="I136" s="51"/>
      <c r="J136" s="51"/>
      <c r="K136" s="51"/>
      <c r="L136" s="51"/>
      <c r="M136" s="51"/>
      <c r="N136" s="1"/>
      <c r="O136" s="142"/>
      <c r="P136" s="584" t="s">
        <v>60</v>
      </c>
      <c r="Q136" s="142"/>
      <c r="R136" s="144"/>
      <c r="S136" s="144"/>
      <c r="T136" s="144"/>
      <c r="U136" s="584" t="str">
        <f>$Q$14</f>
        <v>対象外</v>
      </c>
      <c r="V136" s="144"/>
      <c r="W136" s="144"/>
      <c r="X136" s="144"/>
      <c r="Y136" s="144"/>
    </row>
    <row r="137" spans="1:25" ht="19.5" customHeight="1">
      <c r="A137" s="30"/>
      <c r="B137" s="30"/>
      <c r="C137" s="30"/>
      <c r="D137" s="30"/>
      <c r="E137" s="375"/>
      <c r="F137" s="512">
        <v>1</v>
      </c>
      <c r="G137" s="541" t="s">
        <v>1141</v>
      </c>
      <c r="H137" s="542"/>
      <c r="I137" s="542"/>
      <c r="J137" s="542"/>
      <c r="K137" s="542"/>
      <c r="L137" s="542"/>
      <c r="M137" s="530"/>
      <c r="N137" s="1"/>
      <c r="O137" s="142"/>
      <c r="P137" s="615"/>
      <c r="Q137" s="142"/>
      <c r="R137" s="144"/>
      <c r="S137" s="144"/>
      <c r="T137" s="144"/>
      <c r="U137" s="615"/>
      <c r="V137" s="144"/>
      <c r="W137" s="144"/>
      <c r="X137" s="144"/>
      <c r="Y137" s="144"/>
    </row>
    <row r="138" spans="1:25" ht="19.5" customHeight="1" thickBot="1">
      <c r="A138" s="30"/>
      <c r="B138" s="30"/>
      <c r="C138" s="30"/>
      <c r="D138" s="30"/>
      <c r="E138" s="571"/>
      <c r="F138" s="795">
        <v>2</v>
      </c>
      <c r="G138" s="561" t="s">
        <v>381</v>
      </c>
      <c r="H138" s="543"/>
      <c r="I138" s="543"/>
      <c r="J138" s="543"/>
      <c r="K138" s="543"/>
      <c r="L138" s="543"/>
      <c r="M138" s="789"/>
      <c r="N138" s="1"/>
      <c r="O138" s="142"/>
      <c r="P138" s="615"/>
      <c r="Q138" s="142"/>
      <c r="R138" s="144"/>
      <c r="S138" s="144"/>
      <c r="T138" s="144"/>
      <c r="U138" s="615"/>
      <c r="V138" s="144"/>
      <c r="W138" s="144"/>
      <c r="X138" s="144"/>
      <c r="Y138" s="144"/>
    </row>
    <row r="139" spans="1:25" ht="16.5" customHeight="1">
      <c r="A139" s="30"/>
      <c r="B139" s="30"/>
      <c r="C139" s="30"/>
      <c r="D139" s="30"/>
      <c r="E139" s="806"/>
      <c r="F139" s="528"/>
      <c r="G139" s="528"/>
      <c r="H139" s="528"/>
      <c r="I139" s="528"/>
      <c r="J139" s="528"/>
      <c r="K139" s="528" t="s">
        <v>377</v>
      </c>
      <c r="L139" s="1057">
        <f>IF(COUNTIF(E137:E138,U3)&gt;1,1,0)</f>
        <v>0</v>
      </c>
      <c r="M139" s="527" t="s">
        <v>378</v>
      </c>
      <c r="N139" s="1"/>
      <c r="O139" s="142"/>
      <c r="P139" s="615"/>
      <c r="Q139" s="142"/>
      <c r="R139" s="144"/>
      <c r="S139" s="144"/>
      <c r="T139" s="144"/>
      <c r="U139" s="615"/>
      <c r="V139" s="144"/>
      <c r="W139" s="144"/>
      <c r="X139" s="144"/>
      <c r="Y139" s="144"/>
    </row>
    <row r="140" spans="1:25" s="144" customFormat="1" ht="8.25" customHeight="1">
      <c r="A140" s="51"/>
      <c r="B140" s="164"/>
      <c r="C140" s="607"/>
      <c r="D140" s="309"/>
      <c r="E140" s="309"/>
      <c r="F140" s="1"/>
      <c r="G140" s="1"/>
      <c r="H140" s="1"/>
      <c r="I140" s="1"/>
      <c r="J140" s="1"/>
      <c r="K140" s="1"/>
      <c r="L140" s="1"/>
      <c r="M140" s="1"/>
      <c r="N140" s="150"/>
      <c r="P140" s="584" t="s">
        <v>60</v>
      </c>
      <c r="Q140" s="324" t="s">
        <v>82</v>
      </c>
      <c r="R140" s="4"/>
      <c r="S140" s="4"/>
      <c r="T140" s="132"/>
    </row>
    <row r="141" spans="1:25" s="144" customFormat="1" ht="21" customHeight="1">
      <c r="A141" s="51"/>
      <c r="B141" s="164"/>
      <c r="C141" s="607"/>
      <c r="E141" s="781" t="s">
        <v>3</v>
      </c>
      <c r="F141" s="782"/>
      <c r="G141" s="1201"/>
      <c r="H141" s="1201"/>
      <c r="I141" s="2388"/>
      <c r="J141" s="2389"/>
      <c r="K141" s="2389"/>
      <c r="L141" s="2389"/>
      <c r="M141" s="2390"/>
      <c r="N141" s="150"/>
      <c r="P141" s="615"/>
      <c r="Q141" s="324"/>
      <c r="R141" s="4"/>
      <c r="S141" s="4"/>
      <c r="T141" s="132"/>
      <c r="U141" s="615"/>
      <c r="V141" s="132"/>
      <c r="W141" s="132"/>
      <c r="X141" s="132"/>
      <c r="Y141" s="132"/>
    </row>
    <row r="142" spans="1:25" ht="14.25">
      <c r="A142" s="30"/>
      <c r="B142" s="30"/>
      <c r="C142" s="30"/>
      <c r="D142" s="30"/>
      <c r="E142" s="51"/>
      <c r="F142" s="51"/>
      <c r="G142" s="51"/>
      <c r="H142" s="51"/>
      <c r="I142" s="51"/>
      <c r="J142" s="51"/>
      <c r="K142" s="51"/>
      <c r="L142" s="51"/>
      <c r="M142" s="47"/>
      <c r="N142" s="1"/>
      <c r="O142" s="142"/>
      <c r="P142" s="380"/>
      <c r="Q142" s="142"/>
      <c r="R142" s="144"/>
      <c r="S142" s="144"/>
      <c r="T142" s="144"/>
      <c r="U142" s="380"/>
      <c r="V142" s="144"/>
      <c r="W142" s="144"/>
      <c r="X142" s="144"/>
      <c r="Y142" s="144"/>
    </row>
    <row r="143" spans="1:25" s="325" customFormat="1" ht="14.25" customHeight="1">
      <c r="A143" s="23"/>
      <c r="B143" s="1061">
        <v>3.2</v>
      </c>
      <c r="C143" s="30" t="s">
        <v>496</v>
      </c>
      <c r="D143" s="30"/>
      <c r="E143" s="147"/>
      <c r="F143" s="147"/>
      <c r="G143" s="147"/>
      <c r="H143" s="147"/>
      <c r="I143" s="51"/>
      <c r="J143" s="51"/>
      <c r="K143" s="51"/>
      <c r="L143" s="51"/>
      <c r="M143" s="47"/>
      <c r="N143" s="23"/>
    </row>
    <row r="144" spans="1:25" ht="16.5" customHeight="1" thickBot="1">
      <c r="A144" s="1"/>
      <c r="B144" s="164"/>
      <c r="C144" s="28"/>
      <c r="D144" s="136"/>
      <c r="E144" s="413"/>
      <c r="F144" s="148"/>
      <c r="G144" s="5"/>
      <c r="H144" s="5"/>
      <c r="I144" s="51"/>
      <c r="J144" s="51"/>
      <c r="K144" s="51"/>
      <c r="L144" s="176" t="s">
        <v>2</v>
      </c>
      <c r="M144" s="48">
        <f>重み!M43</f>
        <v>0.5</v>
      </c>
      <c r="N144" s="6"/>
      <c r="O144" s="144">
        <f t="shared" ref="O144:Y144" si="5">C144</f>
        <v>0</v>
      </c>
      <c r="P144" s="144">
        <f t="shared" si="5"/>
        <v>0</v>
      </c>
      <c r="Q144" s="144">
        <f t="shared" si="5"/>
        <v>0</v>
      </c>
      <c r="R144" s="144">
        <f t="shared" si="5"/>
        <v>0</v>
      </c>
      <c r="S144" s="144">
        <f t="shared" si="5"/>
        <v>0</v>
      </c>
      <c r="T144" s="144">
        <f t="shared" si="5"/>
        <v>0</v>
      </c>
      <c r="U144" s="144">
        <f t="shared" si="5"/>
        <v>0</v>
      </c>
      <c r="V144" s="144">
        <f t="shared" si="5"/>
        <v>0</v>
      </c>
      <c r="W144" s="144">
        <f t="shared" si="5"/>
        <v>0</v>
      </c>
      <c r="X144" s="144" t="str">
        <f t="shared" si="5"/>
        <v>重み係数＝</v>
      </c>
      <c r="Y144" s="144">
        <f t="shared" si="5"/>
        <v>0.5</v>
      </c>
    </row>
    <row r="145" spans="1:25" ht="16.5" customHeight="1" thickBot="1">
      <c r="A145" s="1"/>
      <c r="B145" s="164"/>
      <c r="C145" s="28"/>
      <c r="D145" s="1049">
        <v>3</v>
      </c>
      <c r="E145" s="2391" t="s">
        <v>391</v>
      </c>
      <c r="F145" s="2392"/>
      <c r="G145" s="2392"/>
      <c r="H145" s="2392"/>
      <c r="I145" s="2392"/>
      <c r="J145" s="2392"/>
      <c r="K145" s="2392"/>
      <c r="L145" s="2392"/>
      <c r="M145" s="2393"/>
      <c r="N145" s="1"/>
      <c r="O145" s="142"/>
      <c r="P145" s="144"/>
      <c r="Q145" s="142"/>
      <c r="R145" s="144"/>
      <c r="S145" s="144"/>
      <c r="T145" s="144"/>
      <c r="U145" s="144"/>
      <c r="V145" s="144"/>
      <c r="W145" s="144"/>
      <c r="X145" s="144"/>
      <c r="Y145" s="144"/>
    </row>
    <row r="146" spans="1:25" s="300" customFormat="1" ht="16.5" customHeight="1">
      <c r="A146" s="133"/>
      <c r="B146" s="164"/>
      <c r="C146" s="28"/>
      <c r="D146" s="32" t="str">
        <f>IF(D145=$Q$14,$R$9,IF(ROUNDDOWN(D145,0)=$Q$9,$S$9,$R$9))</f>
        <v>　レベル　1</v>
      </c>
      <c r="E146" s="522" t="s">
        <v>383</v>
      </c>
      <c r="F146" s="580"/>
      <c r="G146" s="580"/>
      <c r="H146" s="580"/>
      <c r="I146" s="580"/>
      <c r="J146" s="580"/>
      <c r="K146" s="580"/>
      <c r="L146" s="580"/>
      <c r="M146" s="581"/>
      <c r="N146" s="133"/>
      <c r="O146" s="142"/>
      <c r="P146" s="584" t="s">
        <v>48</v>
      </c>
      <c r="Q146" s="142"/>
      <c r="R146" s="144"/>
      <c r="S146" s="144"/>
      <c r="T146" s="144"/>
      <c r="U146" s="584">
        <f>$Q$9</f>
        <v>1</v>
      </c>
      <c r="V146" s="144"/>
      <c r="W146" s="144"/>
      <c r="X146" s="144"/>
      <c r="Y146" s="144"/>
    </row>
    <row r="147" spans="1:25" s="300" customFormat="1" ht="16.5" customHeight="1">
      <c r="A147" s="133"/>
      <c r="B147" s="164"/>
      <c r="C147" s="28"/>
      <c r="D147" s="35" t="str">
        <f>IF(D145=$Q$14,$R$10,IF(ROUNDDOWN(D145,0)=$Q$10,$S$10,$R$10))</f>
        <v>　レベル　2</v>
      </c>
      <c r="E147" s="523" t="s">
        <v>550</v>
      </c>
      <c r="F147" s="582"/>
      <c r="G147" s="582"/>
      <c r="H147" s="582"/>
      <c r="I147" s="582"/>
      <c r="J147" s="582"/>
      <c r="K147" s="582"/>
      <c r="L147" s="582"/>
      <c r="M147" s="583"/>
      <c r="N147" s="133"/>
      <c r="O147" s="142"/>
      <c r="P147" s="584">
        <f>$Q$10</f>
        <v>2</v>
      </c>
      <c r="Q147" s="142"/>
      <c r="R147" s="144"/>
      <c r="S147" s="144"/>
      <c r="T147" s="144"/>
      <c r="U147" s="584">
        <f>$Q$10</f>
        <v>2</v>
      </c>
      <c r="V147" s="144"/>
      <c r="W147" s="144"/>
      <c r="X147" s="144"/>
      <c r="Y147" s="144"/>
    </row>
    <row r="148" spans="1:25" s="300" customFormat="1" ht="16.5" customHeight="1">
      <c r="A148" s="133"/>
      <c r="B148" s="164"/>
      <c r="C148" s="28"/>
      <c r="D148" s="35" t="str">
        <f>IF(D145=$Q$14,$R$11,IF(ROUNDDOWN(D145,0)=$Q$11,$S$11,$R$11))</f>
        <v>■レベル　3</v>
      </c>
      <c r="E148" s="523" t="s">
        <v>551</v>
      </c>
      <c r="F148" s="582"/>
      <c r="G148" s="582"/>
      <c r="H148" s="582"/>
      <c r="I148" s="582"/>
      <c r="J148" s="582"/>
      <c r="K148" s="582"/>
      <c r="L148" s="582"/>
      <c r="M148" s="583"/>
      <c r="N148" s="133"/>
      <c r="O148" s="142"/>
      <c r="P148" s="584">
        <f>$Q$11</f>
        <v>3</v>
      </c>
      <c r="Q148" s="142"/>
      <c r="R148" s="144"/>
      <c r="S148" s="144"/>
      <c r="T148" s="144"/>
      <c r="U148" s="584">
        <f>$Q$11</f>
        <v>3</v>
      </c>
      <c r="V148" s="144"/>
      <c r="W148" s="144"/>
      <c r="X148" s="144"/>
      <c r="Y148" s="144"/>
    </row>
    <row r="149" spans="1:25" s="300" customFormat="1" ht="16.5" customHeight="1">
      <c r="A149" s="133"/>
      <c r="B149" s="164"/>
      <c r="C149" s="28"/>
      <c r="D149" s="35" t="str">
        <f>IF(D145=$Q$14,$R$12,IF(ROUNDDOWN(D145,0)=$Q$12,$S$12,$R$12))</f>
        <v>　レベル　4</v>
      </c>
      <c r="E149" s="535" t="s">
        <v>552</v>
      </c>
      <c r="F149" s="585"/>
      <c r="G149" s="585"/>
      <c r="H149" s="585"/>
      <c r="I149" s="585"/>
      <c r="J149" s="585"/>
      <c r="K149" s="585"/>
      <c r="L149" s="585"/>
      <c r="M149" s="586"/>
      <c r="N149" s="133"/>
      <c r="O149" s="142"/>
      <c r="P149" s="584">
        <f>$Q$12</f>
        <v>4</v>
      </c>
      <c r="Q149" s="142"/>
      <c r="R149" s="144"/>
      <c r="S149" s="144"/>
      <c r="T149" s="144"/>
      <c r="U149" s="584">
        <f>$Q$12</f>
        <v>4</v>
      </c>
      <c r="V149" s="144"/>
      <c r="W149" s="144"/>
      <c r="X149" s="144"/>
      <c r="Y149" s="144"/>
    </row>
    <row r="150" spans="1:25" s="300" customFormat="1" ht="16.5" customHeight="1">
      <c r="A150" s="133"/>
      <c r="B150" s="164"/>
      <c r="C150" s="28"/>
      <c r="D150" s="33" t="str">
        <f>IF(D145=$Q$14,$R$13,IF(ROUNDDOWN(D145,0)=$Q$13,$S$13,$R$13))</f>
        <v>　レベル　5</v>
      </c>
      <c r="E150" s="561" t="s">
        <v>553</v>
      </c>
      <c r="F150" s="587"/>
      <c r="G150" s="587"/>
      <c r="H150" s="587"/>
      <c r="I150" s="587"/>
      <c r="J150" s="587"/>
      <c r="K150" s="587"/>
      <c r="L150" s="587"/>
      <c r="M150" s="588"/>
      <c r="N150" s="133"/>
      <c r="O150" s="142"/>
      <c r="P150" s="584">
        <f>$Q$13</f>
        <v>5</v>
      </c>
      <c r="Q150" s="142"/>
      <c r="R150" s="144"/>
      <c r="S150" s="144"/>
      <c r="T150" s="144"/>
      <c r="U150" s="584">
        <f>$Q$13</f>
        <v>5</v>
      </c>
      <c r="V150" s="144"/>
      <c r="W150" s="144"/>
      <c r="X150" s="144"/>
      <c r="Y150" s="144"/>
    </row>
    <row r="151" spans="1:25" s="144" customFormat="1" ht="8.25" customHeight="1">
      <c r="A151" s="51"/>
      <c r="B151" s="164"/>
      <c r="C151" s="607"/>
      <c r="D151" s="309"/>
      <c r="E151" s="309"/>
      <c r="F151" s="1"/>
      <c r="G151" s="1"/>
      <c r="H151" s="1"/>
      <c r="I151" s="1"/>
      <c r="J151" s="1"/>
      <c r="K151" s="1"/>
      <c r="L151" s="1"/>
      <c r="M151" s="1"/>
      <c r="N151" s="150"/>
      <c r="P151" s="584" t="s">
        <v>60</v>
      </c>
      <c r="Q151" s="324" t="s">
        <v>82</v>
      </c>
      <c r="R151" s="4"/>
      <c r="S151" s="4"/>
      <c r="T151" s="132"/>
    </row>
    <row r="152" spans="1:25" s="144" customFormat="1" ht="21" customHeight="1">
      <c r="A152" s="51"/>
      <c r="B152" s="164"/>
      <c r="C152" s="607"/>
      <c r="E152" s="781" t="s">
        <v>3</v>
      </c>
      <c r="F152" s="782"/>
      <c r="G152" s="1201"/>
      <c r="H152" s="1201"/>
      <c r="I152" s="2388"/>
      <c r="J152" s="2389"/>
      <c r="K152" s="2389"/>
      <c r="L152" s="2389"/>
      <c r="M152" s="2390"/>
      <c r="N152" s="150"/>
      <c r="P152" s="615"/>
      <c r="Q152" s="324"/>
      <c r="R152" s="4"/>
      <c r="S152" s="4"/>
      <c r="T152" s="132"/>
      <c r="U152" s="615"/>
      <c r="V152" s="132"/>
      <c r="W152" s="132"/>
      <c r="X152" s="132"/>
      <c r="Y152" s="132"/>
    </row>
    <row r="153" spans="1:25"/>
    <row r="154" spans="1:25" hidden="1"/>
    <row r="155" spans="1:25" hidden="1"/>
    <row r="156" spans="1:25" hidden="1"/>
    <row r="157" spans="1:25" hidden="1"/>
    <row r="158" spans="1:25" hidden="1"/>
    <row r="159" spans="1:25" hidden="1"/>
    <row r="160" spans="1:2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sheetData>
  <sheetProtection password="CC47" sheet="1" objects="1" scenarios="1"/>
  <mergeCells count="39">
    <mergeCell ref="E68:M68"/>
    <mergeCell ref="E78:M78"/>
    <mergeCell ref="G47:H47"/>
    <mergeCell ref="G48:H48"/>
    <mergeCell ref="K47:M47"/>
    <mergeCell ref="K48:M48"/>
    <mergeCell ref="D129:D130"/>
    <mergeCell ref="H100:M100"/>
    <mergeCell ref="H101:M101"/>
    <mergeCell ref="G115:M115"/>
    <mergeCell ref="G118:M118"/>
    <mergeCell ref="G119:M119"/>
    <mergeCell ref="E129:M129"/>
    <mergeCell ref="E108:M108"/>
    <mergeCell ref="I152:M152"/>
    <mergeCell ref="I141:M141"/>
    <mergeCell ref="I123:M123"/>
    <mergeCell ref="I104:M104"/>
    <mergeCell ref="I85:M85"/>
    <mergeCell ref="E145:M145"/>
    <mergeCell ref="F98:F99"/>
    <mergeCell ref="F100:F101"/>
    <mergeCell ref="E91:M91"/>
    <mergeCell ref="L1:M1"/>
    <mergeCell ref="I32:M32"/>
    <mergeCell ref="I15:M15"/>
    <mergeCell ref="F34:M34"/>
    <mergeCell ref="G120:M120"/>
    <mergeCell ref="I75:M75"/>
    <mergeCell ref="I64:M64"/>
    <mergeCell ref="I53:M53"/>
    <mergeCell ref="E8:M8"/>
    <mergeCell ref="E20:M20"/>
    <mergeCell ref="G27:M27"/>
    <mergeCell ref="G28:M28"/>
    <mergeCell ref="E12:M12"/>
    <mergeCell ref="E13:M13"/>
    <mergeCell ref="E39:M39"/>
    <mergeCell ref="E57:M57"/>
  </mergeCells>
  <phoneticPr fontId="4"/>
  <conditionalFormatting sqref="D8 D20 D145 D57 D78 D68 D91">
    <cfRule type="expression" dxfId="124" priority="4" stopIfTrue="1">
      <formula>AND(OR(D8&lt;1,D8&gt;5),D8&lt;&gt;P14)</formula>
    </cfRule>
    <cfRule type="expression" dxfId="123" priority="5" stopIfTrue="1">
      <formula>M7&gt;0</formula>
    </cfRule>
  </conditionalFormatting>
  <conditionalFormatting sqref="D129">
    <cfRule type="expression" dxfId="122" priority="6" stopIfTrue="1">
      <formula>AND(OR(D129&lt;1,D129&gt;5),D129&lt;&gt;#REF!)</formula>
    </cfRule>
    <cfRule type="expression" dxfId="121" priority="7" stopIfTrue="1">
      <formula>M128&gt;0</formula>
    </cfRule>
  </conditionalFormatting>
  <conditionalFormatting sqref="E46">
    <cfRule type="expression" dxfId="120" priority="8" stopIfTrue="1">
      <formula>M38&gt;0</formula>
    </cfRule>
  </conditionalFormatting>
  <conditionalFormatting sqref="D130">
    <cfRule type="expression" dxfId="119" priority="9" stopIfTrue="1">
      <formula>AND(OR(D130&lt;1,D130&gt;5),D130&lt;&gt;P143)</formula>
    </cfRule>
    <cfRule type="expression" dxfId="118" priority="10" stopIfTrue="1">
      <formula>H129&gt;0</formula>
    </cfRule>
  </conditionalFormatting>
  <conditionalFormatting sqref="D19 D90">
    <cfRule type="expression" dxfId="117" priority="11" stopIfTrue="1">
      <formula>AND(OR(D19&lt;1,D19&gt;5),D19&lt;&gt;U8)</formula>
    </cfRule>
    <cfRule type="expression" dxfId="116" priority="12" stopIfTrue="1">
      <formula>M17&gt;0</formula>
    </cfRule>
  </conditionalFormatting>
  <conditionalFormatting sqref="I15 I152 I85 I64 I75">
    <cfRule type="expression" dxfId="115" priority="13" stopIfTrue="1">
      <formula>M7&gt;0</formula>
    </cfRule>
  </conditionalFormatting>
  <conditionalFormatting sqref="D39">
    <cfRule type="expression" dxfId="114" priority="18" stopIfTrue="1">
      <formula>AND(OR(D39&lt;1,D39&gt;5),D39&lt;&gt;U26)</formula>
    </cfRule>
    <cfRule type="expression" dxfId="113" priority="19" stopIfTrue="1">
      <formula>M38&gt;0</formula>
    </cfRule>
  </conditionalFormatting>
  <conditionalFormatting sqref="E98:E101 E47:E48 I53">
    <cfRule type="expression" dxfId="112" priority="20" stopIfTrue="1">
      <formula>$M$38&gt;0</formula>
    </cfRule>
  </conditionalFormatting>
  <conditionalFormatting sqref="E137:E138 E27:E29">
    <cfRule type="expression" dxfId="111" priority="21" stopIfTrue="1">
      <formula>$M$7&gt;0</formula>
    </cfRule>
  </conditionalFormatting>
  <conditionalFormatting sqref="E116:E118 I123">
    <cfRule type="expression" dxfId="110" priority="22" stopIfTrue="1">
      <formula>$M$107&gt;0</formula>
    </cfRule>
  </conditionalFormatting>
  <conditionalFormatting sqref="E49:E50">
    <cfRule type="expression" dxfId="109" priority="23" stopIfTrue="1">
      <formula>AND($M$38&gt;0,$E$46=$Q$46)</formula>
    </cfRule>
  </conditionalFormatting>
  <conditionalFormatting sqref="I32">
    <cfRule type="expression" dxfId="108" priority="24" stopIfTrue="1">
      <formula>$M$19&gt;0</formula>
    </cfRule>
  </conditionalFormatting>
  <conditionalFormatting sqref="I104">
    <cfRule type="expression" dxfId="107" priority="25" stopIfTrue="1">
      <formula>$M$90&gt;0</formula>
    </cfRule>
  </conditionalFormatting>
  <conditionalFormatting sqref="I141">
    <cfRule type="expression" dxfId="106" priority="26" stopIfTrue="1">
      <formula>$M$128&gt;0</formula>
    </cfRule>
  </conditionalFormatting>
  <conditionalFormatting sqref="D128">
    <cfRule type="expression" dxfId="105" priority="27" stopIfTrue="1">
      <formula>AND(OR(D128&lt;1,D128&gt;5),D128&lt;&gt;U115)</formula>
    </cfRule>
    <cfRule type="expression" dxfId="104" priority="28" stopIfTrue="1">
      <formula>M126&gt;0</formula>
    </cfRule>
  </conditionalFormatting>
  <conditionalFormatting sqref="D38">
    <cfRule type="expression" dxfId="103" priority="85" stopIfTrue="1">
      <formula>AND(OR(D38&lt;1,D38&gt;5),D38&lt;&gt;U25)</formula>
    </cfRule>
    <cfRule type="expression" dxfId="102" priority="86" stopIfTrue="1">
      <formula>M36&gt;0</formula>
    </cfRule>
  </conditionalFormatting>
  <conditionalFormatting sqref="E34">
    <cfRule type="expression" dxfId="101" priority="3" stopIfTrue="1">
      <formula>M19&gt;0</formula>
    </cfRule>
  </conditionalFormatting>
  <conditionalFormatting sqref="E120">
    <cfRule type="expression" dxfId="100" priority="2" stopIfTrue="1">
      <formula>$M$107&gt;0</formula>
    </cfRule>
  </conditionalFormatting>
  <conditionalFormatting sqref="E119">
    <cfRule type="expression" dxfId="99" priority="1" stopIfTrue="1">
      <formula>$M$107&gt;0</formula>
    </cfRule>
  </conditionalFormatting>
  <dataValidations count="9">
    <dataValidation type="list" allowBlank="1" showInputMessage="1" sqref="D39">
      <formula1>$P$21:$P$26</formula1>
    </dataValidation>
    <dataValidation type="list" allowBlank="1" showInputMessage="1" sqref="D8 D20 D91 D57 D68 D78 D145">
      <formula1>P9:P14</formula1>
    </dataValidation>
    <dataValidation type="textLength" operator="lessThanOrEqual" allowBlank="1" showInputMessage="1" showErrorMessage="1" sqref="F104:H104 F152:H152 F15:H15 F75:H75 F123:H123 F53:H53 F64:H64 F141:H141 F85:H85 F32:H33 JB33:JD33 SX33:SZ33 ACT33:ACV33 AMP33:AMR33 AWL33:AWN33 BGH33:BGJ33 BQD33:BQF33 BZZ33:CAB33 CJV33:CJX33 CTR33:CTT33 DDN33:DDP33 DNJ33:DNL33 DXF33:DXH33 EHB33:EHD33 EQX33:EQZ33 FAT33:FAV33 FKP33:FKR33 FUL33:FUN33 GEH33:GEJ33 GOD33:GOF33 GXZ33:GYB33 HHV33:HHX33 HRR33:HRT33 IBN33:IBP33 ILJ33:ILL33 IVF33:IVH33 JFB33:JFD33 JOX33:JOZ33 JYT33:JYV33 KIP33:KIR33 KSL33:KSN33 LCH33:LCJ33 LMD33:LMF33 LVZ33:LWB33 MFV33:MFX33 MPR33:MPT33 MZN33:MZP33 NJJ33:NJL33 NTF33:NTH33 ODB33:ODD33 OMX33:OMZ33 OWT33:OWV33 PGP33:PGR33 PQL33:PQN33 QAH33:QAJ33 QKD33:QKF33 QTZ33:QUB33 RDV33:RDX33 RNR33:RNT33 RXN33:RXP33 SHJ33:SHL33 SRF33:SRH33 TBB33:TBD33 TKX33:TKZ33 TUT33:TUV33 UEP33:UER33 UOL33:UON33 UYH33:UYJ33 VID33:VIF33 VRZ33:VSB33 WBV33:WBX33 WLR33:WLT33 WVN33:WVP33">
      <formula1>30</formula1>
    </dataValidation>
    <dataValidation type="list" allowBlank="1" showInputMessage="1" showErrorMessage="1" sqref="D129:D130">
      <formula1>$P$131:$P$136</formula1>
    </dataValidation>
    <dataValidation type="list" allowBlank="1" showInputMessage="1" showErrorMessage="1" sqref="E137:E138 E27:E29 E47:E50 E98:E101 E116:E120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formula1>$U$3:$U$4</formula1>
    </dataValidation>
    <dataValidation allowBlank="1" showInputMessage="1" sqref="D128 D38 D19 D90"/>
    <dataValidation type="list" allowBlank="1" showInputMessage="1" showErrorMessage="1" sqref="E46">
      <formula1>$P$46:$Q$46</formula1>
    </dataValidation>
    <dataValidation type="textLength" operator="lessThanOrEqual" allowBlank="1" showInputMessage="1" showErrorMessage="1" sqref="I15 I152 I141 I123 I104 I85 I75 I64 I53 I32: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ormula1>35</formula1>
    </dataValidation>
    <dataValidation type="list" allowBlank="1" showInputMessage="1" showErrorMessage="1" sqref="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formula1>"○,　"</formula1>
    </dataValidation>
  </dataValidations>
  <printOptions horizontalCentered="1"/>
  <pageMargins left="0.78740157480314965" right="0.78740157480314965" top="0.78740157480314965" bottom="0.78740157480314965" header="0.51181102362204722" footer="0.51181102362204722"/>
  <pageSetup paperSize="9" scale="71" fitToHeight="0" orientation="portrait" horizontalDpi="4294967293" verticalDpi="4294967293" r:id="rId1"/>
  <headerFooter alignWithMargins="0">
    <oddHeader>&amp;L&amp;F&amp;R&amp;A</oddHeader>
    <oddFooter>&amp;C&amp;P/&amp;N</oddFooter>
  </headerFooter>
  <rowBreaks count="2" manualBreakCount="2">
    <brk id="54" max="13" man="1"/>
    <brk id="105" max="13" man="1"/>
  </rowBreaks>
</worksheet>
</file>

<file path=xl/worksheets/sheet8.xml><?xml version="1.0" encoding="utf-8"?>
<worksheet xmlns="http://schemas.openxmlformats.org/spreadsheetml/2006/main" xmlns:r="http://schemas.openxmlformats.org/officeDocument/2006/relationships">
  <sheetPr codeName="Sheet9">
    <pageSetUpPr fitToPage="1"/>
  </sheetPr>
  <dimension ref="A1:IU106"/>
  <sheetViews>
    <sheetView showGridLines="0" zoomScaleNormal="100" workbookViewId="0">
      <selection activeCell="F6" sqref="F6"/>
    </sheetView>
  </sheetViews>
  <sheetFormatPr defaultColWidth="0" defaultRowHeight="13.5" zeroHeight="1"/>
  <cols>
    <col min="1" max="1" width="1.375" customWidth="1"/>
    <col min="2" max="2" width="4.5" customWidth="1"/>
    <col min="3" max="3" width="1.5" customWidth="1"/>
    <col min="4" max="13" width="11.625" customWidth="1"/>
    <col min="14" max="14" width="1.75" customWidth="1"/>
    <col min="15" max="15" width="3.75" hidden="1" customWidth="1"/>
    <col min="16" max="16" width="6" hidden="1" customWidth="1"/>
    <col min="17" max="17" width="5.125" hidden="1" customWidth="1"/>
    <col min="18" max="18" width="9.125" hidden="1" customWidth="1"/>
    <col min="19" max="19" width="9.625" hidden="1" customWidth="1"/>
    <col min="20" max="20" width="5.625" hidden="1" customWidth="1"/>
    <col min="21" max="21" width="6" hidden="1" customWidth="1"/>
    <col min="22" max="22" width="8.75" hidden="1" customWidth="1"/>
    <col min="23" max="23" width="3.5" hidden="1" customWidth="1"/>
    <col min="24" max="24" width="8.875" hidden="1" customWidth="1"/>
    <col min="25" max="25" width="10.5" hidden="1" customWidth="1"/>
    <col min="26" max="255" width="8.875" hidden="1" customWidth="1"/>
    <col min="256" max="16384" width="9" hidden="1"/>
  </cols>
  <sheetData>
    <row r="1" spans="1:25" s="144" customFormat="1" ht="22.5" customHeight="1">
      <c r="A1" s="51"/>
      <c r="B1" s="164"/>
      <c r="C1" s="150"/>
      <c r="D1" s="155"/>
      <c r="E1" s="51"/>
      <c r="F1" s="51"/>
      <c r="G1" s="51"/>
      <c r="H1" s="51"/>
      <c r="I1" s="51"/>
      <c r="J1" s="51"/>
      <c r="K1" s="1047" t="s">
        <v>342</v>
      </c>
      <c r="L1" s="2387">
        <f>メイン!C10</f>
        <v>0</v>
      </c>
      <c r="M1" s="2387"/>
      <c r="N1" s="150"/>
      <c r="O1" s="142"/>
      <c r="P1" s="142"/>
      <c r="Q1" s="142"/>
    </row>
    <row r="2" spans="1:25" s="144" customFormat="1" ht="9" customHeight="1" thickBot="1">
      <c r="A2" s="51"/>
      <c r="B2" s="164"/>
      <c r="C2" s="150"/>
      <c r="D2" s="155"/>
      <c r="E2" s="51"/>
      <c r="F2" s="51"/>
      <c r="G2" s="51"/>
      <c r="H2" s="51"/>
      <c r="I2" s="51"/>
      <c r="J2" s="51"/>
      <c r="K2" s="1046"/>
      <c r="L2" s="360"/>
      <c r="M2" s="47"/>
      <c r="N2" s="150"/>
      <c r="O2" s="142"/>
      <c r="P2" s="142"/>
      <c r="Q2" s="142"/>
    </row>
    <row r="3" spans="1:25" ht="21.75" thickBot="1">
      <c r="B3" s="519" t="s">
        <v>968</v>
      </c>
      <c r="C3" s="41"/>
      <c r="D3" s="475"/>
      <c r="E3" s="149"/>
      <c r="F3" s="43"/>
      <c r="G3" s="43"/>
      <c r="H3" s="146"/>
      <c r="I3" s="52" t="s">
        <v>1103</v>
      </c>
      <c r="J3" s="43"/>
      <c r="K3" s="28"/>
      <c r="L3" s="28"/>
      <c r="M3" s="299"/>
      <c r="N3" s="27"/>
      <c r="O3" s="130"/>
      <c r="P3" s="315" t="s">
        <v>762</v>
      </c>
      <c r="Q3" s="130"/>
      <c r="R3" s="144"/>
      <c r="S3" s="4"/>
      <c r="T3" s="412" t="s">
        <v>763</v>
      </c>
      <c r="U3" s="1025" t="s">
        <v>668</v>
      </c>
      <c r="V3" s="412" t="s">
        <v>18</v>
      </c>
      <c r="W3" s="1027"/>
      <c r="X3" s="144"/>
      <c r="Y3" s="412" t="str">
        <f>メイン!N31</f>
        <v>基本設計段階</v>
      </c>
    </row>
    <row r="4" spans="1:25" ht="9" customHeight="1">
      <c r="B4" s="306"/>
      <c r="C4" s="41"/>
      <c r="D4" s="149"/>
      <c r="E4" s="149"/>
      <c r="F4" s="149"/>
      <c r="G4" s="149"/>
      <c r="H4" s="42"/>
      <c r="I4" s="42"/>
      <c r="J4" s="149"/>
      <c r="K4" s="149"/>
      <c r="L4" s="149"/>
      <c r="M4" s="149"/>
      <c r="N4" s="27"/>
      <c r="O4" s="144"/>
      <c r="P4" s="144"/>
      <c r="Q4" s="144"/>
      <c r="R4" s="144"/>
      <c r="S4" s="4"/>
      <c r="T4" s="412" t="s">
        <v>764</v>
      </c>
      <c r="U4" s="1026"/>
      <c r="V4" s="412" t="s">
        <v>240</v>
      </c>
      <c r="W4" s="1027" t="s">
        <v>765</v>
      </c>
      <c r="X4" s="144"/>
      <c r="Y4" s="412" t="str">
        <f>メイン!N32</f>
        <v>実施設計段階</v>
      </c>
    </row>
    <row r="5" spans="1:25" ht="11.45" customHeight="1">
      <c r="B5" s="150"/>
      <c r="C5" s="29"/>
      <c r="D5" s="29"/>
      <c r="E5" s="29"/>
      <c r="F5" s="29"/>
      <c r="G5" s="29"/>
      <c r="H5" s="29"/>
      <c r="I5" s="29"/>
      <c r="J5" s="29"/>
      <c r="K5" s="29"/>
      <c r="L5" s="29"/>
      <c r="M5" s="29"/>
      <c r="N5" s="29"/>
      <c r="O5" s="175"/>
      <c r="P5" s="175"/>
      <c r="Q5" s="175"/>
      <c r="R5" s="175"/>
      <c r="S5" s="175"/>
      <c r="T5" s="175"/>
      <c r="U5" s="175"/>
      <c r="V5" s="412" t="s">
        <v>815</v>
      </c>
      <c r="W5" s="175"/>
      <c r="X5" s="175"/>
      <c r="Y5" s="412" t="str">
        <f>メイン!N33</f>
        <v>竣工段階</v>
      </c>
    </row>
    <row r="6" spans="1:25" s="1865" customFormat="1" ht="15.75">
      <c r="B6" s="1065">
        <v>1</v>
      </c>
      <c r="C6" s="30" t="s">
        <v>330</v>
      </c>
      <c r="D6" s="29"/>
      <c r="E6" s="29"/>
      <c r="F6" s="29"/>
      <c r="G6" s="29"/>
      <c r="H6" s="29"/>
      <c r="I6" s="29"/>
      <c r="J6" s="29"/>
      <c r="K6" s="29"/>
      <c r="L6" s="29"/>
      <c r="M6" s="29"/>
      <c r="N6" s="29"/>
      <c r="O6" s="175"/>
      <c r="P6" s="175"/>
      <c r="Q6" s="175"/>
      <c r="R6" s="175"/>
      <c r="S6" s="175"/>
      <c r="T6" s="175"/>
      <c r="U6" s="175"/>
      <c r="V6" s="175"/>
      <c r="W6" s="175"/>
      <c r="X6" s="175"/>
      <c r="Y6" s="417"/>
    </row>
    <row r="7" spans="1:25" s="1865" customFormat="1" ht="16.5" thickBot="1">
      <c r="B7" s="1065"/>
      <c r="C7" s="30"/>
      <c r="D7" s="29"/>
      <c r="E7" s="29"/>
      <c r="F7" s="29"/>
      <c r="G7" s="29"/>
      <c r="H7" s="29"/>
      <c r="I7" s="29"/>
      <c r="J7" s="29"/>
      <c r="K7" s="29"/>
      <c r="L7" s="29"/>
      <c r="M7" s="29"/>
      <c r="N7" s="29"/>
      <c r="O7" s="175"/>
      <c r="P7" s="175"/>
      <c r="Q7" s="175"/>
      <c r="R7" s="175"/>
      <c r="S7" s="175"/>
      <c r="T7" s="175"/>
      <c r="U7" s="175"/>
      <c r="V7" s="175"/>
      <c r="W7" s="175"/>
      <c r="X7" s="175"/>
      <c r="Y7" s="417"/>
    </row>
    <row r="8" spans="1:25" s="1865" customFormat="1" ht="16.5" customHeight="1" thickBot="1">
      <c r="B8" s="147"/>
      <c r="C8" s="30"/>
      <c r="D8" s="1866">
        <f>IF(D9+L18&gt;=5,5,IF(D9+L18=2,1,D9+L18))</f>
        <v>3</v>
      </c>
      <c r="E8" s="155"/>
      <c r="F8" s="51"/>
      <c r="G8" s="525"/>
      <c r="H8" s="51"/>
      <c r="I8" s="51"/>
      <c r="J8" s="51"/>
      <c r="K8" s="150"/>
      <c r="L8" s="176" t="s">
        <v>2</v>
      </c>
      <c r="M8" s="373">
        <f>重み!M45</f>
        <v>0.3</v>
      </c>
      <c r="N8" s="29"/>
      <c r="O8" s="144">
        <f t="shared" ref="O8:Y8" si="0">C8</f>
        <v>0</v>
      </c>
      <c r="P8" s="1867">
        <f>D8</f>
        <v>3</v>
      </c>
      <c r="Q8" s="144">
        <f t="shared" si="0"/>
        <v>0</v>
      </c>
      <c r="R8" s="144">
        <f t="shared" si="0"/>
        <v>0</v>
      </c>
      <c r="S8" s="144">
        <f t="shared" si="0"/>
        <v>0</v>
      </c>
      <c r="T8" s="144">
        <f t="shared" si="0"/>
        <v>0</v>
      </c>
      <c r="U8" s="144">
        <f t="shared" si="0"/>
        <v>0</v>
      </c>
      <c r="V8" s="144">
        <f t="shared" si="0"/>
        <v>0</v>
      </c>
      <c r="W8" s="144">
        <f t="shared" si="0"/>
        <v>0</v>
      </c>
      <c r="X8" s="144" t="str">
        <f t="shared" si="0"/>
        <v>重み係数＝</v>
      </c>
      <c r="Y8" s="144">
        <f t="shared" si="0"/>
        <v>0.3</v>
      </c>
    </row>
    <row r="9" spans="1:25" s="1865" customFormat="1" ht="16.5" customHeight="1" thickBot="1">
      <c r="B9" s="306"/>
      <c r="C9" s="306"/>
      <c r="D9" s="1863">
        <v>3</v>
      </c>
      <c r="E9" s="2391" t="s">
        <v>1007</v>
      </c>
      <c r="F9" s="2453"/>
      <c r="G9" s="2453"/>
      <c r="H9" s="2453"/>
      <c r="I9" s="2453"/>
      <c r="J9" s="2453"/>
      <c r="K9" s="2453"/>
      <c r="L9" s="2453"/>
      <c r="M9" s="2454"/>
      <c r="N9" s="29"/>
      <c r="O9" s="37"/>
      <c r="P9" s="37"/>
      <c r="Q9" s="37"/>
      <c r="R9" s="37"/>
      <c r="S9" s="37"/>
      <c r="T9" s="37"/>
      <c r="U9" s="37"/>
      <c r="V9" s="37"/>
      <c r="W9" s="37"/>
      <c r="X9" s="37"/>
      <c r="Y9" s="37"/>
    </row>
    <row r="10" spans="1:25" s="1865" customFormat="1" ht="16.5" customHeight="1">
      <c r="B10" s="306"/>
      <c r="C10" s="306"/>
      <c r="D10" s="32" t="str">
        <f>IF(ROUNDDOWN($D$8,0)=$Q$10,$S$10,$R$10)</f>
        <v>　レベル　1</v>
      </c>
      <c r="E10" s="2459" t="s">
        <v>1008</v>
      </c>
      <c r="F10" s="2460"/>
      <c r="G10" s="2460"/>
      <c r="H10" s="2460"/>
      <c r="I10" s="2460"/>
      <c r="J10" s="2460"/>
      <c r="K10" s="2460"/>
      <c r="L10" s="2460"/>
      <c r="M10" s="2461"/>
      <c r="N10" s="26"/>
      <c r="O10" s="175"/>
      <c r="P10" s="1868">
        <f>$Q$10</f>
        <v>1</v>
      </c>
      <c r="Q10" s="1869">
        <v>1</v>
      </c>
      <c r="R10" s="319" t="s">
        <v>766</v>
      </c>
      <c r="S10" s="317" t="s">
        <v>767</v>
      </c>
      <c r="T10" s="144"/>
      <c r="U10" s="1868">
        <f>$Q$10</f>
        <v>1</v>
      </c>
      <c r="V10" s="144"/>
      <c r="W10" s="144"/>
      <c r="X10" s="144"/>
      <c r="Y10" s="144"/>
    </row>
    <row r="11" spans="1:25" s="1865" customFormat="1" ht="16.5" customHeight="1">
      <c r="B11" s="306"/>
      <c r="C11" s="306"/>
      <c r="D11" s="35" t="str">
        <f>IF(ROUNDDOWN($D$8,0)=$Q$11,$S$11,$R$11)</f>
        <v>　レベル　2</v>
      </c>
      <c r="E11" s="1791" t="s">
        <v>383</v>
      </c>
      <c r="F11" s="1787"/>
      <c r="G11" s="1787"/>
      <c r="H11" s="1787"/>
      <c r="I11" s="1787"/>
      <c r="J11" s="1787"/>
      <c r="K11" s="1787"/>
      <c r="L11" s="1787"/>
      <c r="M11" s="1788"/>
      <c r="N11" s="26"/>
      <c r="O11" s="144"/>
      <c r="P11" s="1868" t="s">
        <v>768</v>
      </c>
      <c r="Q11" s="1869">
        <v>2</v>
      </c>
      <c r="R11" s="319" t="s">
        <v>460</v>
      </c>
      <c r="S11" s="317" t="s">
        <v>78</v>
      </c>
      <c r="T11" s="144"/>
      <c r="U11" s="1868">
        <f>$Q$11</f>
        <v>2</v>
      </c>
      <c r="V11" s="144"/>
      <c r="W11" s="144"/>
      <c r="X11" s="144"/>
      <c r="Y11" s="144"/>
    </row>
    <row r="12" spans="1:25" s="1865" customFormat="1" ht="16.5" customHeight="1">
      <c r="B12" s="306"/>
      <c r="C12" s="306"/>
      <c r="D12" s="35" t="str">
        <f>IF(ROUNDDOWN($D$8,0)=$Q$12,$S$12,$R$12)</f>
        <v>■レベル　3</v>
      </c>
      <c r="E12" s="2455" t="s">
        <v>1009</v>
      </c>
      <c r="F12" s="2456"/>
      <c r="G12" s="2456"/>
      <c r="H12" s="2456"/>
      <c r="I12" s="2456"/>
      <c r="J12" s="2456"/>
      <c r="K12" s="2456"/>
      <c r="L12" s="2456"/>
      <c r="M12" s="2457"/>
      <c r="N12" s="26"/>
      <c r="O12" s="144"/>
      <c r="P12" s="1868">
        <f>$Q$12</f>
        <v>3</v>
      </c>
      <c r="Q12" s="1869">
        <v>3</v>
      </c>
      <c r="R12" s="319" t="s">
        <v>461</v>
      </c>
      <c r="S12" s="317" t="s">
        <v>79</v>
      </c>
      <c r="T12" s="144"/>
      <c r="U12" s="1868">
        <f>$Q$12</f>
        <v>3</v>
      </c>
      <c r="V12" s="144"/>
      <c r="W12" s="144"/>
      <c r="X12" s="144"/>
      <c r="Y12" s="144"/>
    </row>
    <row r="13" spans="1:25" s="1865" customFormat="1" ht="16.5" customHeight="1">
      <c r="B13" s="306"/>
      <c r="C13" s="306"/>
      <c r="D13" s="35" t="str">
        <f>IF(ROUNDDOWN($D$8,0)=$Q$13,$S$13,$R$13)</f>
        <v>　レベル　4</v>
      </c>
      <c r="E13" s="2417" t="s">
        <v>1010</v>
      </c>
      <c r="F13" s="2437"/>
      <c r="G13" s="2437"/>
      <c r="H13" s="2437"/>
      <c r="I13" s="2437"/>
      <c r="J13" s="2437"/>
      <c r="K13" s="2437"/>
      <c r="L13" s="2437"/>
      <c r="M13" s="2438"/>
      <c r="N13" s="26"/>
      <c r="O13" s="144"/>
      <c r="P13" s="1868">
        <f>$Q$13</f>
        <v>4</v>
      </c>
      <c r="Q13" s="1869">
        <v>4</v>
      </c>
      <c r="R13" s="319" t="s">
        <v>462</v>
      </c>
      <c r="S13" s="317" t="s">
        <v>80</v>
      </c>
      <c r="T13" s="144"/>
      <c r="U13" s="1868">
        <f>$Q$13</f>
        <v>4</v>
      </c>
      <c r="V13" s="144"/>
      <c r="W13" s="144"/>
      <c r="X13" s="144"/>
      <c r="Y13" s="144"/>
    </row>
    <row r="14" spans="1:25" s="1865" customFormat="1" ht="24" customHeight="1">
      <c r="B14" s="306"/>
      <c r="C14" s="306"/>
      <c r="D14" s="33" t="str">
        <f>IF(ROUNDDOWN($D$8,0)=$Q$14,$S$14,$R$14)</f>
        <v>　レベル　5</v>
      </c>
      <c r="E14" s="2414" t="s">
        <v>1011</v>
      </c>
      <c r="F14" s="2415"/>
      <c r="G14" s="2415"/>
      <c r="H14" s="2415"/>
      <c r="I14" s="2415"/>
      <c r="J14" s="2415"/>
      <c r="K14" s="2415"/>
      <c r="L14" s="2415"/>
      <c r="M14" s="2416"/>
      <c r="N14" s="26"/>
      <c r="O14" s="144"/>
      <c r="P14" s="1868">
        <f>$Q$14</f>
        <v>5</v>
      </c>
      <c r="Q14" s="1869">
        <v>5</v>
      </c>
      <c r="R14" s="319" t="s">
        <v>463</v>
      </c>
      <c r="S14" s="317" t="s">
        <v>81</v>
      </c>
      <c r="T14" s="144"/>
      <c r="U14" s="1868">
        <f>$Q$14</f>
        <v>5</v>
      </c>
      <c r="V14" s="144"/>
      <c r="W14" s="144"/>
      <c r="X14" s="144"/>
      <c r="Y14" s="144"/>
    </row>
    <row r="15" spans="1:25" s="1865" customFormat="1" ht="16.5" customHeight="1" thickBot="1">
      <c r="B15" s="306"/>
      <c r="C15" s="306"/>
      <c r="D15" s="1870"/>
      <c r="E15" s="1058" t="s">
        <v>360</v>
      </c>
      <c r="F15" s="1871"/>
      <c r="G15" s="1871"/>
      <c r="H15" s="1871"/>
      <c r="I15" s="1871"/>
      <c r="J15" s="1871"/>
      <c r="K15" s="1871"/>
      <c r="L15" s="1871"/>
      <c r="M15" s="1871"/>
      <c r="N15" s="26"/>
      <c r="O15" s="144"/>
      <c r="P15" s="1872" t="s">
        <v>768</v>
      </c>
      <c r="Q15" s="317">
        <v>0</v>
      </c>
      <c r="R15" s="317" t="s">
        <v>769</v>
      </c>
      <c r="S15" s="317" t="s">
        <v>769</v>
      </c>
      <c r="T15" s="144"/>
      <c r="U15" s="1872">
        <f>$Q$15</f>
        <v>0</v>
      </c>
      <c r="V15" s="144"/>
      <c r="W15" s="144"/>
      <c r="X15" s="144"/>
      <c r="Y15" s="144"/>
    </row>
    <row r="16" spans="1:25" s="1865" customFormat="1" ht="24" customHeight="1">
      <c r="B16" s="306"/>
      <c r="C16" s="306"/>
      <c r="D16" s="1870"/>
      <c r="E16" s="1873" t="str">
        <f>IF(M8&gt;0,IF(F30&gt;=5,"○",""),"")</f>
        <v/>
      </c>
      <c r="F16" s="1874" t="s">
        <v>1012</v>
      </c>
      <c r="G16" s="2462" t="s">
        <v>1013</v>
      </c>
      <c r="H16" s="2463"/>
      <c r="I16" s="2463"/>
      <c r="J16" s="2463"/>
      <c r="K16" s="2463"/>
      <c r="L16" s="2463"/>
      <c r="M16" s="2464"/>
      <c r="N16" s="26"/>
      <c r="O16" s="144"/>
      <c r="P16" s="1875"/>
      <c r="Q16" s="1876"/>
      <c r="R16" s="1877"/>
      <c r="S16" s="1878"/>
      <c r="T16" s="417"/>
      <c r="U16" s="1875"/>
      <c r="V16" s="144"/>
      <c r="W16" s="144"/>
      <c r="X16" s="144"/>
      <c r="Y16" s="144"/>
    </row>
    <row r="17" spans="1:25" s="1865" customFormat="1" ht="24" customHeight="1" thickBot="1">
      <c r="B17" s="306"/>
      <c r="C17" s="306"/>
      <c r="D17" s="1870"/>
      <c r="E17" s="1879" t="str">
        <f>IF(M8&gt;0,IF(D66=5,"○",""),"")</f>
        <v/>
      </c>
      <c r="F17" s="1880" t="s">
        <v>1014</v>
      </c>
      <c r="G17" s="2465" t="s">
        <v>1015</v>
      </c>
      <c r="H17" s="2466"/>
      <c r="I17" s="2466"/>
      <c r="J17" s="2466"/>
      <c r="K17" s="2466"/>
      <c r="L17" s="2466"/>
      <c r="M17" s="2467"/>
      <c r="N17" s="26"/>
      <c r="O17" s="144"/>
      <c r="P17" s="1881"/>
      <c r="Q17" s="1882"/>
      <c r="R17" s="489"/>
      <c r="S17" s="474"/>
      <c r="T17" s="417"/>
      <c r="U17" s="1881"/>
      <c r="V17" s="144"/>
      <c r="W17" s="144"/>
      <c r="X17" s="144"/>
      <c r="Y17" s="144"/>
    </row>
    <row r="18" spans="1:25" s="1865" customFormat="1" ht="16.5" customHeight="1">
      <c r="B18" s="306"/>
      <c r="C18" s="306"/>
      <c r="D18" s="1870"/>
      <c r="E18" s="1883"/>
      <c r="F18" s="1884"/>
      <c r="G18" s="1884"/>
      <c r="H18" s="1884"/>
      <c r="I18" s="1884"/>
      <c r="J18" s="1884"/>
      <c r="K18" s="1885" t="s">
        <v>377</v>
      </c>
      <c r="L18" s="1886">
        <f>COUNTIF(E16:E17,"○")</f>
        <v>0</v>
      </c>
      <c r="M18" s="1887" t="s">
        <v>1016</v>
      </c>
      <c r="N18" s="26"/>
      <c r="O18" s="144"/>
      <c r="P18" s="1881"/>
      <c r="Q18" s="1882"/>
      <c r="R18" s="489"/>
      <c r="S18" s="474"/>
      <c r="T18" s="417"/>
      <c r="U18" s="1881"/>
      <c r="V18" s="144"/>
      <c r="W18" s="144"/>
      <c r="X18" s="144"/>
      <c r="Y18" s="144"/>
    </row>
    <row r="19" spans="1:25" s="1865" customFormat="1" ht="16.5" customHeight="1">
      <c r="B19" s="306"/>
      <c r="C19" s="306"/>
      <c r="D19" s="45"/>
      <c r="E19" s="152" t="s">
        <v>1017</v>
      </c>
      <c r="F19" s="51"/>
      <c r="G19" s="151"/>
      <c r="H19" s="40"/>
      <c r="I19" s="40"/>
      <c r="J19" s="51"/>
      <c r="K19" s="51"/>
      <c r="L19" s="51"/>
      <c r="M19" s="51"/>
      <c r="N19" s="26"/>
      <c r="O19" s="144"/>
      <c r="V19" s="144"/>
      <c r="W19" s="144"/>
      <c r="X19" s="144"/>
      <c r="Y19" s="144"/>
    </row>
    <row r="20" spans="1:25" s="1865" customFormat="1" ht="16.5" thickBot="1">
      <c r="B20" s="306"/>
      <c r="C20" s="306"/>
      <c r="D20" s="45"/>
      <c r="E20" s="1789" t="s">
        <v>1018</v>
      </c>
      <c r="F20" s="2426" t="s">
        <v>467</v>
      </c>
      <c r="G20" s="2468"/>
      <c r="H20" s="2426" t="s">
        <v>1019</v>
      </c>
      <c r="I20" s="2454"/>
      <c r="J20" s="2426" t="s">
        <v>1020</v>
      </c>
      <c r="K20" s="2454"/>
      <c r="L20" s="2426" t="s">
        <v>1021</v>
      </c>
      <c r="M20" s="2454"/>
      <c r="N20" s="26"/>
      <c r="O20" s="144"/>
      <c r="P20" s="37"/>
      <c r="Q20" s="37"/>
      <c r="R20" s="37"/>
      <c r="S20" s="37"/>
      <c r="T20" s="37"/>
      <c r="U20" s="37"/>
      <c r="V20" s="144"/>
      <c r="W20" s="144"/>
      <c r="X20" s="144"/>
      <c r="Y20" s="144"/>
    </row>
    <row r="21" spans="1:25" s="1865" customFormat="1" ht="45" customHeight="1">
      <c r="B21" s="306"/>
      <c r="C21" s="306"/>
      <c r="D21" s="45"/>
      <c r="E21" s="1888" t="str">
        <f>IF(M8&gt;0,IF(採点Q1!D18&gt;=3,IF(COUNTIF(採点Q1!E27,"○")&gt;=1,"○",""),""),"")</f>
        <v/>
      </c>
      <c r="F21" s="740" t="s">
        <v>1022</v>
      </c>
      <c r="G21" s="1889" t="s">
        <v>1023</v>
      </c>
      <c r="H21" s="2400" t="s">
        <v>1024</v>
      </c>
      <c r="I21" s="2458"/>
      <c r="J21" s="2400" t="s">
        <v>1025</v>
      </c>
      <c r="K21" s="2458"/>
      <c r="L21" s="2400" t="s">
        <v>1026</v>
      </c>
      <c r="M21" s="2458"/>
      <c r="N21" s="26"/>
      <c r="O21" s="144"/>
      <c r="P21" s="37"/>
      <c r="Q21" s="37"/>
      <c r="R21" s="37"/>
      <c r="S21" s="37"/>
      <c r="T21" s="37"/>
      <c r="U21" s="37"/>
      <c r="V21" s="144"/>
      <c r="W21" s="144"/>
      <c r="X21" s="144"/>
      <c r="Y21" s="144"/>
    </row>
    <row r="22" spans="1:25" s="1865" customFormat="1" ht="45" customHeight="1">
      <c r="B22" s="306"/>
      <c r="C22" s="306"/>
      <c r="D22" s="45"/>
      <c r="E22" s="1890" t="str">
        <f>IF(M8&gt;0,IF(採点Q1!D114&gt;=3,IF(COUNTIF(採点Q1!E128,"○")&gt;=1,"○",""),""),"")</f>
        <v/>
      </c>
      <c r="F22" s="1891" t="s">
        <v>1027</v>
      </c>
      <c r="G22" s="741" t="s">
        <v>1028</v>
      </c>
      <c r="H22" s="2435" t="s">
        <v>1029</v>
      </c>
      <c r="I22" s="2436"/>
      <c r="J22" s="2435" t="s">
        <v>1030</v>
      </c>
      <c r="K22" s="2436"/>
      <c r="L22" s="2435" t="s">
        <v>1031</v>
      </c>
      <c r="M22" s="2436"/>
      <c r="N22" s="26"/>
      <c r="O22" s="144"/>
      <c r="P22" s="1892"/>
      <c r="Q22" s="474"/>
      <c r="R22" s="474"/>
      <c r="S22" s="474"/>
      <c r="T22" s="144"/>
      <c r="U22" s="1892"/>
      <c r="V22" s="144"/>
      <c r="W22" s="144"/>
      <c r="X22" s="144"/>
      <c r="Y22" s="144"/>
    </row>
    <row r="23" spans="1:25" s="1865" customFormat="1" ht="64.5" customHeight="1">
      <c r="B23" s="306"/>
      <c r="C23" s="306"/>
      <c r="D23" s="45"/>
      <c r="E23" s="1890" t="str">
        <f>IF(M8&gt;0,IF(採点Q2!D19&gt;=3,IF(COUNTIF(採点Q2!E34,"○")&gt;=1,"○",""),""),"")</f>
        <v/>
      </c>
      <c r="F23" s="1891" t="s">
        <v>1032</v>
      </c>
      <c r="G23" s="741" t="s">
        <v>1033</v>
      </c>
      <c r="H23" s="2394" t="s">
        <v>1034</v>
      </c>
      <c r="I23" s="2431"/>
      <c r="J23" s="2394" t="s">
        <v>1035</v>
      </c>
      <c r="K23" s="2431"/>
      <c r="L23" s="2394" t="s">
        <v>1036</v>
      </c>
      <c r="M23" s="2431"/>
      <c r="N23" s="26"/>
      <c r="O23" s="144"/>
      <c r="P23" s="1892"/>
      <c r="Q23" s="474"/>
      <c r="R23" s="474"/>
      <c r="S23" s="474"/>
      <c r="T23" s="144"/>
      <c r="U23" s="1892"/>
      <c r="V23" s="144"/>
      <c r="W23" s="144"/>
      <c r="X23" s="144"/>
      <c r="Y23" s="144"/>
    </row>
    <row r="24" spans="1:25" s="1865" customFormat="1" ht="85.5" customHeight="1">
      <c r="B24" s="306"/>
      <c r="C24" s="306"/>
      <c r="D24" s="45"/>
      <c r="E24" s="1890" t="str">
        <f>IF(M8&gt;0,IF(D86&gt;=4,"○",""),"")</f>
        <v/>
      </c>
      <c r="F24" s="1891" t="s">
        <v>1037</v>
      </c>
      <c r="G24" s="741" t="s">
        <v>1038</v>
      </c>
      <c r="H24" s="2433" t="s">
        <v>1039</v>
      </c>
      <c r="I24" s="2434"/>
      <c r="J24" s="2433" t="s">
        <v>1040</v>
      </c>
      <c r="K24" s="2434"/>
      <c r="L24" s="2433" t="s">
        <v>1041</v>
      </c>
      <c r="M24" s="2434"/>
      <c r="N24" s="26"/>
      <c r="O24" s="144"/>
      <c r="P24" s="1892"/>
      <c r="Q24" s="474"/>
      <c r="R24" s="474"/>
      <c r="S24" s="474"/>
      <c r="T24" s="144"/>
      <c r="U24" s="1892"/>
      <c r="V24" s="144"/>
      <c r="W24" s="144"/>
      <c r="X24" s="144"/>
      <c r="Y24" s="144"/>
    </row>
    <row r="25" spans="1:25" s="1865" customFormat="1" ht="45" customHeight="1">
      <c r="B25" s="306"/>
      <c r="C25" s="306"/>
      <c r="D25" s="45"/>
      <c r="E25" s="1890" t="str">
        <f>IF(M8&gt;0,IF(採点LR2!D77&gt;=3,IF(COUNTIF(採点LR2!E101,"○")&gt;=1,"○",""),""),"")</f>
        <v/>
      </c>
      <c r="F25" s="1891" t="s">
        <v>1042</v>
      </c>
      <c r="G25" s="741" t="s">
        <v>1043</v>
      </c>
      <c r="H25" s="2394" t="s">
        <v>1044</v>
      </c>
      <c r="I25" s="2431"/>
      <c r="J25" s="2394" t="s">
        <v>1045</v>
      </c>
      <c r="K25" s="2431"/>
      <c r="L25" s="2394" t="s">
        <v>1046</v>
      </c>
      <c r="M25" s="2431"/>
      <c r="N25" s="26"/>
      <c r="O25" s="144"/>
      <c r="P25" s="1892"/>
      <c r="Q25" s="474"/>
      <c r="R25" s="474"/>
      <c r="S25" s="474"/>
      <c r="T25" s="144"/>
      <c r="U25" s="1892"/>
      <c r="V25" s="144"/>
      <c r="W25" s="144"/>
      <c r="X25" s="144"/>
      <c r="Y25" s="144"/>
    </row>
    <row r="26" spans="1:25" s="1865" customFormat="1" ht="64.5" customHeight="1">
      <c r="B26" s="306"/>
      <c r="C26" s="306"/>
      <c r="D26" s="45"/>
      <c r="E26" s="1890" t="str">
        <f>IF(M8&gt;0,IF(採点LR2!D136&gt;=3,IF(COUNTIF(採点LR2!E152,"○")&gt;=1,"○",""),""),"")</f>
        <v/>
      </c>
      <c r="F26" s="1891" t="s">
        <v>1047</v>
      </c>
      <c r="G26" s="741" t="s">
        <v>1048</v>
      </c>
      <c r="H26" s="2433" t="s">
        <v>1044</v>
      </c>
      <c r="I26" s="2434"/>
      <c r="J26" s="2433" t="s">
        <v>1049</v>
      </c>
      <c r="K26" s="2434"/>
      <c r="L26" s="2433" t="s">
        <v>1050</v>
      </c>
      <c r="M26" s="2434"/>
      <c r="N26" s="26"/>
      <c r="O26" s="144"/>
      <c r="P26" s="1892"/>
      <c r="Q26" s="474"/>
      <c r="R26" s="474"/>
      <c r="S26" s="474"/>
      <c r="T26" s="144"/>
      <c r="U26" s="1892"/>
      <c r="V26" s="144"/>
      <c r="W26" s="144"/>
      <c r="X26" s="144"/>
      <c r="Y26" s="144"/>
    </row>
    <row r="27" spans="1:25" s="1865" customFormat="1" ht="64.5" customHeight="1">
      <c r="B27" s="306"/>
      <c r="C27" s="306"/>
      <c r="D27" s="45"/>
      <c r="E27" s="1890" t="str">
        <f>IF(M8&gt;0,IF(採点LR3!D42&gt;=4,"○",""),"")</f>
        <v/>
      </c>
      <c r="F27" s="1891" t="s">
        <v>1051</v>
      </c>
      <c r="G27" s="741" t="s">
        <v>1052</v>
      </c>
      <c r="H27" s="2394" t="s">
        <v>1053</v>
      </c>
      <c r="I27" s="2431"/>
      <c r="J27" s="2394" t="s">
        <v>1054</v>
      </c>
      <c r="K27" s="2431"/>
      <c r="L27" s="2394" t="s">
        <v>1041</v>
      </c>
      <c r="M27" s="2431"/>
      <c r="N27" s="26"/>
      <c r="O27" s="144"/>
      <c r="P27" s="1892"/>
      <c r="Q27" s="474"/>
      <c r="R27" s="474"/>
      <c r="S27" s="474"/>
      <c r="T27" s="144"/>
      <c r="U27" s="1892"/>
      <c r="V27" s="144"/>
      <c r="W27" s="144"/>
      <c r="X27" s="144"/>
      <c r="Y27" s="144"/>
    </row>
    <row r="28" spans="1:25" s="1865" customFormat="1" ht="64.5" customHeight="1">
      <c r="B28" s="306"/>
      <c r="C28" s="306"/>
      <c r="D28" s="45"/>
      <c r="E28" s="1890" t="str">
        <f>IF(M8&gt;0,IF(採点LR3!D63&gt;=4,"○",""),"")</f>
        <v/>
      </c>
      <c r="F28" s="1891" t="s">
        <v>1055</v>
      </c>
      <c r="G28" s="741" t="s">
        <v>1056</v>
      </c>
      <c r="H28" s="2394" t="s">
        <v>1057</v>
      </c>
      <c r="I28" s="2431"/>
      <c r="J28" s="2394" t="s">
        <v>1058</v>
      </c>
      <c r="K28" s="2431"/>
      <c r="L28" s="2394" t="s">
        <v>1041</v>
      </c>
      <c r="M28" s="2431"/>
      <c r="N28" s="26"/>
      <c r="O28" s="144"/>
      <c r="P28" s="1892"/>
      <c r="Q28" s="474"/>
      <c r="R28" s="474"/>
      <c r="S28" s="474"/>
      <c r="T28" s="144"/>
      <c r="U28" s="1892"/>
      <c r="V28" s="144"/>
      <c r="W28" s="144"/>
      <c r="X28" s="144"/>
      <c r="Y28" s="144"/>
    </row>
    <row r="29" spans="1:25" s="1865" customFormat="1" ht="45" customHeight="1" thickBot="1">
      <c r="B29" s="306"/>
      <c r="C29" s="306"/>
      <c r="D29" s="45"/>
      <c r="E29" s="1893" t="str">
        <f>IF(M8&gt;0,IF(採点LR3!D79&gt;=4,"○",""),"")</f>
        <v/>
      </c>
      <c r="F29" s="1894" t="s">
        <v>1059</v>
      </c>
      <c r="G29" s="1895" t="s">
        <v>1060</v>
      </c>
      <c r="H29" s="2403" t="s">
        <v>1061</v>
      </c>
      <c r="I29" s="2432"/>
      <c r="J29" s="2403" t="s">
        <v>1062</v>
      </c>
      <c r="K29" s="2432"/>
      <c r="L29" s="2403" t="s">
        <v>1041</v>
      </c>
      <c r="M29" s="2432"/>
      <c r="N29" s="26"/>
      <c r="O29" s="144"/>
      <c r="P29" s="1892"/>
      <c r="Q29" s="474"/>
      <c r="R29" s="474"/>
      <c r="S29" s="474"/>
      <c r="T29" s="144"/>
      <c r="U29" s="1892"/>
      <c r="V29" s="144"/>
      <c r="W29" s="144"/>
      <c r="X29" s="144"/>
      <c r="Y29" s="144"/>
    </row>
    <row r="30" spans="1:25" s="1865" customFormat="1" ht="16.5" customHeight="1">
      <c r="B30" s="306"/>
      <c r="C30" s="306"/>
      <c r="D30" s="45"/>
      <c r="E30" s="743" t="s">
        <v>751</v>
      </c>
      <c r="F30" s="1020">
        <f>IF(M8&gt;0,COUNTIF(E21:E29,"○"),"")</f>
        <v>0</v>
      </c>
      <c r="G30" s="515"/>
      <c r="H30" s="515"/>
      <c r="I30" s="139"/>
      <c r="J30" s="139"/>
      <c r="K30" s="139"/>
      <c r="L30" s="477"/>
      <c r="M30" s="540"/>
      <c r="N30" s="26"/>
      <c r="O30" s="144"/>
      <c r="P30" s="1892"/>
      <c r="Q30" s="474"/>
      <c r="R30" s="474"/>
      <c r="S30" s="474"/>
      <c r="T30" s="144"/>
      <c r="U30" s="1892"/>
      <c r="V30" s="144"/>
      <c r="W30" s="144"/>
      <c r="X30" s="144"/>
      <c r="Y30" s="144"/>
    </row>
    <row r="31" spans="1:25" s="144" customFormat="1" ht="8.25" customHeight="1">
      <c r="A31" s="51"/>
      <c r="B31" s="164"/>
      <c r="C31" s="607"/>
      <c r="D31" s="1896"/>
      <c r="E31" s="1896"/>
      <c r="F31" s="26"/>
      <c r="G31" s="26"/>
      <c r="H31" s="26"/>
      <c r="I31" s="26"/>
      <c r="J31" s="26"/>
      <c r="K31" s="26"/>
      <c r="L31" s="26"/>
      <c r="M31" s="26"/>
      <c r="N31" s="150"/>
      <c r="P31" s="1897" t="s">
        <v>1063</v>
      </c>
      <c r="Q31" s="1862" t="s">
        <v>82</v>
      </c>
      <c r="R31" s="37"/>
      <c r="S31" s="37"/>
    </row>
    <row r="32" spans="1:25" s="1865" customFormat="1" ht="15.75">
      <c r="B32" s="306"/>
      <c r="C32" s="26"/>
      <c r="D32" s="51"/>
      <c r="E32" s="51"/>
      <c r="F32" s="51"/>
      <c r="G32" s="51"/>
      <c r="H32" s="40"/>
      <c r="I32" s="40"/>
      <c r="J32" s="51"/>
      <c r="K32" s="51"/>
      <c r="L32" s="51"/>
      <c r="M32" s="51"/>
      <c r="N32" s="26"/>
      <c r="O32" s="142"/>
      <c r="P32" s="144"/>
      <c r="Q32" s="142"/>
      <c r="R32" s="144"/>
      <c r="S32" s="144"/>
      <c r="T32" s="144"/>
      <c r="U32" s="144"/>
      <c r="V32" s="144"/>
      <c r="W32" s="144"/>
      <c r="X32" s="144"/>
      <c r="Y32" s="144"/>
    </row>
    <row r="33" spans="1:25" ht="15.75">
      <c r="B33" s="164">
        <v>2</v>
      </c>
      <c r="C33" s="30" t="s">
        <v>338</v>
      </c>
      <c r="D33" s="150"/>
      <c r="E33" s="51"/>
      <c r="F33" s="51"/>
      <c r="G33" s="51"/>
      <c r="H33" s="40"/>
      <c r="I33" s="40"/>
      <c r="J33" s="51"/>
      <c r="K33" s="51"/>
      <c r="L33" s="51"/>
      <c r="M33" s="51"/>
      <c r="N33" s="26"/>
      <c r="O33" s="516"/>
      <c r="P33" s="144"/>
      <c r="Q33" s="142"/>
      <c r="R33" s="144"/>
      <c r="S33" s="144"/>
      <c r="T33" s="144"/>
      <c r="U33" s="144"/>
      <c r="V33" s="144"/>
      <c r="W33" s="144"/>
      <c r="X33" s="144"/>
      <c r="Y33" s="144"/>
    </row>
    <row r="34" spans="1:25" ht="15.75">
      <c r="B34" s="1063">
        <v>2.1</v>
      </c>
      <c r="C34" s="30" t="s">
        <v>499</v>
      </c>
      <c r="D34" s="150"/>
      <c r="E34" s="51"/>
      <c r="F34" s="51"/>
      <c r="G34" s="51"/>
      <c r="H34" s="40"/>
      <c r="I34" s="40"/>
      <c r="J34" s="51"/>
      <c r="K34" s="51"/>
      <c r="L34" s="51"/>
      <c r="M34" s="51"/>
      <c r="N34" s="26"/>
      <c r="O34" s="516"/>
      <c r="P34" s="144"/>
      <c r="Q34" s="142"/>
      <c r="R34" s="144"/>
      <c r="S34" s="144"/>
      <c r="T34" s="144"/>
      <c r="U34" s="144"/>
      <c r="V34" s="144"/>
      <c r="W34" s="144"/>
      <c r="X34" s="144"/>
      <c r="Y34" s="144"/>
    </row>
    <row r="35" spans="1:25" ht="16.5" customHeight="1" thickBot="1">
      <c r="D35" s="155"/>
      <c r="E35" s="155"/>
      <c r="F35" s="51"/>
      <c r="G35" s="525"/>
      <c r="H35" s="51"/>
      <c r="I35" s="51"/>
      <c r="J35" s="51"/>
      <c r="K35" s="150"/>
      <c r="L35" s="176" t="s">
        <v>2</v>
      </c>
      <c r="M35" s="373">
        <f>重み!M47</f>
        <v>0.65</v>
      </c>
      <c r="N35" s="26"/>
      <c r="O35" s="144">
        <f>B34</f>
        <v>2.1</v>
      </c>
      <c r="P35" s="144" t="str">
        <f>C34</f>
        <v>敷地内の緑化</v>
      </c>
      <c r="Q35" s="144">
        <f t="shared" ref="Q35:Y35" si="1">E35</f>
        <v>0</v>
      </c>
      <c r="R35" s="144">
        <f t="shared" si="1"/>
        <v>0</v>
      </c>
      <c r="S35" s="144">
        <f t="shared" si="1"/>
        <v>0</v>
      </c>
      <c r="T35" s="144">
        <f t="shared" si="1"/>
        <v>0</v>
      </c>
      <c r="U35" s="144">
        <f t="shared" si="1"/>
        <v>0</v>
      </c>
      <c r="V35" s="144">
        <f t="shared" si="1"/>
        <v>0</v>
      </c>
      <c r="W35" s="144">
        <f t="shared" si="1"/>
        <v>0</v>
      </c>
      <c r="X35" s="144" t="str">
        <f t="shared" si="1"/>
        <v>重み係数＝</v>
      </c>
      <c r="Y35" s="144">
        <f t="shared" si="1"/>
        <v>0.65</v>
      </c>
    </row>
    <row r="36" spans="1:25" ht="16.5" customHeight="1" thickBot="1">
      <c r="B36" s="147"/>
      <c r="C36" s="30"/>
      <c r="D36" s="1050">
        <v>3</v>
      </c>
      <c r="E36" s="2391" t="s">
        <v>391</v>
      </c>
      <c r="F36" s="2392"/>
      <c r="G36" s="2392"/>
      <c r="H36" s="2392"/>
      <c r="I36" s="2392"/>
      <c r="J36" s="2392"/>
      <c r="K36" s="2392"/>
      <c r="L36" s="2392"/>
      <c r="M36" s="2393"/>
      <c r="N36" s="26"/>
      <c r="O36" s="142"/>
      <c r="P36" s="142"/>
      <c r="Q36" s="142"/>
      <c r="R36" s="144"/>
      <c r="S36" s="144"/>
      <c r="T36" s="144"/>
      <c r="U36" s="552"/>
      <c r="V36" s="144"/>
      <c r="W36" s="144"/>
      <c r="X36" s="144"/>
      <c r="Y36" s="144"/>
    </row>
    <row r="37" spans="1:25" ht="16.5" customHeight="1">
      <c r="B37" s="306"/>
      <c r="C37" s="306"/>
      <c r="D37" s="32" t="str">
        <f>IF(ROUNDDOWN($D$36,0)=$Q$10,$S$10,$R$10)</f>
        <v>　レベル　1</v>
      </c>
      <c r="E37" s="522" t="s">
        <v>752</v>
      </c>
      <c r="F37" s="520"/>
      <c r="G37" s="520"/>
      <c r="H37" s="520"/>
      <c r="I37" s="520"/>
      <c r="J37" s="520"/>
      <c r="K37" s="520"/>
      <c r="L37" s="520"/>
      <c r="M37" s="521"/>
      <c r="N37" s="26"/>
      <c r="O37" s="142"/>
      <c r="P37" s="314">
        <f>$Q$10</f>
        <v>1</v>
      </c>
      <c r="Q37" s="142"/>
      <c r="R37" s="144"/>
      <c r="S37" s="144"/>
      <c r="T37" s="144"/>
      <c r="U37" s="314">
        <f>$Q$10</f>
        <v>1</v>
      </c>
      <c r="V37" s="144"/>
      <c r="W37" s="144"/>
      <c r="X37" s="144"/>
      <c r="Y37" s="144"/>
    </row>
    <row r="38" spans="1:25" ht="16.5" customHeight="1">
      <c r="B38" s="306"/>
      <c r="C38" s="306"/>
      <c r="D38" s="35" t="str">
        <f>IF(ROUNDDOWN($D$36,0)=$Q$11,$S$11,$R$11)</f>
        <v>　レベル　2</v>
      </c>
      <c r="E38" s="523" t="s">
        <v>753</v>
      </c>
      <c r="F38" s="513"/>
      <c r="G38" s="513"/>
      <c r="H38" s="513"/>
      <c r="I38" s="513"/>
      <c r="J38" s="513"/>
      <c r="K38" s="513"/>
      <c r="L38" s="513"/>
      <c r="M38" s="514"/>
      <c r="N38" s="26"/>
      <c r="O38" s="142"/>
      <c r="P38" s="314">
        <f>$Q$11</f>
        <v>2</v>
      </c>
      <c r="Q38" s="142"/>
      <c r="R38" s="144"/>
      <c r="S38" s="144"/>
      <c r="T38" s="144"/>
      <c r="U38" s="314">
        <f>$Q$11</f>
        <v>2</v>
      </c>
      <c r="V38" s="144"/>
      <c r="W38" s="144"/>
      <c r="X38" s="144"/>
      <c r="Y38" s="144"/>
    </row>
    <row r="39" spans="1:25" ht="16.5" customHeight="1">
      <c r="B39" s="306"/>
      <c r="C39" s="306"/>
      <c r="D39" s="35" t="str">
        <f>IF(ROUNDDOWN($D$36,0)=$Q$12,$S$12,$R$12)</f>
        <v>■レベル　3</v>
      </c>
      <c r="E39" s="523" t="s">
        <v>754</v>
      </c>
      <c r="F39" s="513"/>
      <c r="G39" s="513"/>
      <c r="H39" s="513"/>
      <c r="I39" s="513"/>
      <c r="J39" s="513"/>
      <c r="K39" s="513"/>
      <c r="L39" s="513"/>
      <c r="M39" s="514"/>
      <c r="N39" s="26"/>
      <c r="O39" s="142"/>
      <c r="P39" s="314">
        <f>$Q$12</f>
        <v>3</v>
      </c>
      <c r="Q39" s="142"/>
      <c r="R39" s="144"/>
      <c r="S39" s="144"/>
      <c r="T39" s="144"/>
      <c r="U39" s="314">
        <f>$Q$12</f>
        <v>3</v>
      </c>
      <c r="V39" s="144"/>
      <c r="W39" s="144"/>
      <c r="X39" s="144"/>
      <c r="Y39" s="144"/>
    </row>
    <row r="40" spans="1:25" ht="16.5" customHeight="1">
      <c r="B40" s="306"/>
      <c r="C40" s="306"/>
      <c r="D40" s="35" t="str">
        <f>IF(ROUNDDOWN($D$36,0)=$Q$13,$S$13,$R$13)</f>
        <v>　レベル　4</v>
      </c>
      <c r="E40" s="523" t="s">
        <v>755</v>
      </c>
      <c r="F40" s="513"/>
      <c r="G40" s="513"/>
      <c r="H40" s="513"/>
      <c r="I40" s="513"/>
      <c r="J40" s="513"/>
      <c r="K40" s="513"/>
      <c r="L40" s="513"/>
      <c r="M40" s="514"/>
      <c r="N40" s="26"/>
      <c r="O40" s="142"/>
      <c r="P40" s="314">
        <f>$Q$13</f>
        <v>4</v>
      </c>
      <c r="Q40" s="142"/>
      <c r="R40" s="144"/>
      <c r="S40" s="144"/>
      <c r="T40" s="144"/>
      <c r="U40" s="314">
        <f>$Q$13</f>
        <v>4</v>
      </c>
      <c r="V40" s="144"/>
      <c r="W40" s="144"/>
      <c r="X40" s="144"/>
      <c r="Y40" s="144"/>
    </row>
    <row r="41" spans="1:25" ht="16.5" customHeight="1">
      <c r="B41" s="306"/>
      <c r="C41" s="306"/>
      <c r="D41" s="33" t="str">
        <f>IF(ROUNDDOWN($D$36,0)=$Q$14,$S$14,$R$14)</f>
        <v>　レベル　5</v>
      </c>
      <c r="E41" s="524" t="s">
        <v>756</v>
      </c>
      <c r="F41" s="509"/>
      <c r="G41" s="509"/>
      <c r="H41" s="509"/>
      <c r="I41" s="509"/>
      <c r="J41" s="509"/>
      <c r="K41" s="509"/>
      <c r="L41" s="509"/>
      <c r="M41" s="510"/>
      <c r="N41" s="26"/>
      <c r="O41" s="142"/>
      <c r="P41" s="314">
        <f>$Q$14</f>
        <v>5</v>
      </c>
      <c r="Q41" s="142"/>
      <c r="R41" s="144"/>
      <c r="S41" s="144"/>
      <c r="T41" s="144"/>
      <c r="U41" s="314">
        <f>$Q$14</f>
        <v>5</v>
      </c>
      <c r="V41" s="144"/>
      <c r="W41" s="144"/>
      <c r="X41" s="144"/>
      <c r="Y41" s="144"/>
    </row>
    <row r="42" spans="1:25" s="144" customFormat="1" ht="8.25" customHeight="1">
      <c r="A42" s="51"/>
      <c r="B42" s="164"/>
      <c r="C42" s="607"/>
      <c r="D42" s="309"/>
      <c r="E42" s="309"/>
      <c r="F42" s="1"/>
      <c r="G42" s="1"/>
      <c r="H42" s="1"/>
      <c r="I42" s="1"/>
      <c r="J42" s="1"/>
      <c r="K42" s="1"/>
      <c r="L42" s="1"/>
      <c r="M42" s="1"/>
      <c r="N42" s="150"/>
      <c r="P42" s="584" t="s">
        <v>60</v>
      </c>
      <c r="Q42" s="324" t="s">
        <v>82</v>
      </c>
      <c r="R42" s="4"/>
      <c r="S42" s="4"/>
      <c r="T42" s="132"/>
    </row>
    <row r="43" spans="1:25" s="144" customFormat="1" ht="21" customHeight="1">
      <c r="A43" s="51"/>
      <c r="B43" s="164"/>
      <c r="C43" s="607"/>
      <c r="E43" s="781" t="s">
        <v>3</v>
      </c>
      <c r="F43" s="782"/>
      <c r="G43" s="1201"/>
      <c r="H43" s="1201"/>
      <c r="I43" s="2388"/>
      <c r="J43" s="2389"/>
      <c r="K43" s="2389"/>
      <c r="L43" s="2389"/>
      <c r="M43" s="2390"/>
      <c r="N43" s="150"/>
      <c r="P43" s="615"/>
      <c r="Q43" s="324"/>
      <c r="R43" s="4"/>
      <c r="S43" s="4"/>
      <c r="T43" s="132"/>
      <c r="U43" s="615"/>
      <c r="V43" s="132"/>
      <c r="W43" s="132"/>
      <c r="X43" s="132"/>
      <c r="Y43" s="132"/>
    </row>
    <row r="44" spans="1:25" ht="15.75">
      <c r="B44" s="306"/>
      <c r="C44" s="381"/>
      <c r="D44" s="381"/>
      <c r="E44" s="526"/>
      <c r="F44" s="526"/>
      <c r="G44" s="526"/>
      <c r="H44" s="526"/>
      <c r="I44" s="526"/>
      <c r="J44" s="526"/>
      <c r="K44" s="526"/>
      <c r="L44" s="526"/>
      <c r="M44" s="526"/>
      <c r="N44" s="26"/>
      <c r="O44" s="37"/>
      <c r="P44" s="380"/>
      <c r="Q44" s="37"/>
      <c r="R44" s="37"/>
      <c r="S44" s="37"/>
      <c r="T44" s="37"/>
      <c r="U44" s="380"/>
      <c r="V44" s="37"/>
      <c r="W44" s="37"/>
      <c r="X44" s="37"/>
      <c r="Y44" s="37"/>
    </row>
    <row r="45" spans="1:25" ht="15.75">
      <c r="B45" s="1065">
        <v>2.2000000000000002</v>
      </c>
      <c r="C45" s="30" t="s">
        <v>500</v>
      </c>
      <c r="D45" s="381"/>
      <c r="E45" s="526"/>
      <c r="F45" s="526"/>
      <c r="G45" s="526"/>
      <c r="H45" s="526"/>
      <c r="I45" s="526"/>
      <c r="J45" s="526"/>
      <c r="K45" s="526"/>
      <c r="L45" s="526"/>
      <c r="M45" s="526"/>
      <c r="N45" s="26"/>
      <c r="O45" s="37"/>
      <c r="P45" s="380"/>
      <c r="Q45" s="37"/>
      <c r="R45" s="37"/>
      <c r="S45" s="37"/>
      <c r="T45" s="37"/>
      <c r="U45" s="380"/>
      <c r="V45" s="37"/>
      <c r="W45" s="37"/>
      <c r="X45" s="37"/>
      <c r="Y45" s="37"/>
    </row>
    <row r="46" spans="1:25" ht="16.5" customHeight="1" thickBot="1">
      <c r="D46" s="155"/>
      <c r="E46" s="155"/>
      <c r="F46" s="51"/>
      <c r="G46" s="525"/>
      <c r="H46" s="51"/>
      <c r="I46" s="51"/>
      <c r="J46" s="51"/>
      <c r="K46" s="150"/>
      <c r="L46" s="176" t="s">
        <v>2</v>
      </c>
      <c r="M46" s="373">
        <f>重み!M48</f>
        <v>0.35</v>
      </c>
      <c r="N46" s="29"/>
      <c r="O46" s="144">
        <f>B45</f>
        <v>2.2000000000000002</v>
      </c>
      <c r="P46" s="144" t="str">
        <f>C45</f>
        <v>生物の生息環境の確保</v>
      </c>
      <c r="Q46" s="144">
        <f t="shared" ref="Q46:Y46" si="2">E46</f>
        <v>0</v>
      </c>
      <c r="R46" s="144">
        <f t="shared" si="2"/>
        <v>0</v>
      </c>
      <c r="S46" s="144">
        <f t="shared" si="2"/>
        <v>0</v>
      </c>
      <c r="T46" s="144">
        <f t="shared" si="2"/>
        <v>0</v>
      </c>
      <c r="U46" s="144">
        <f t="shared" si="2"/>
        <v>0</v>
      </c>
      <c r="V46" s="144">
        <f t="shared" si="2"/>
        <v>0</v>
      </c>
      <c r="W46" s="144">
        <f t="shared" si="2"/>
        <v>0</v>
      </c>
      <c r="X46" s="144" t="str">
        <f t="shared" si="2"/>
        <v>重み係数＝</v>
      </c>
      <c r="Y46" s="144">
        <f t="shared" si="2"/>
        <v>0.35</v>
      </c>
    </row>
    <row r="47" spans="1:25" ht="16.5" customHeight="1" thickBot="1">
      <c r="B47" s="306"/>
      <c r="C47" s="306"/>
      <c r="D47" s="1050">
        <f>ROUND(IF(F60=0,1,IF(F60&lt;=2,3,IF(F60&gt;=3,5))),0)</f>
        <v>3</v>
      </c>
      <c r="E47" s="2391" t="s">
        <v>391</v>
      </c>
      <c r="F47" s="2392"/>
      <c r="G47" s="2392"/>
      <c r="H47" s="2392"/>
      <c r="I47" s="2392"/>
      <c r="J47" s="2392"/>
      <c r="K47" s="2392"/>
      <c r="L47" s="2392"/>
      <c r="M47" s="2393"/>
      <c r="N47" s="26"/>
      <c r="O47" s="142"/>
      <c r="P47" s="142"/>
      <c r="Q47" s="142"/>
      <c r="R47" s="144"/>
      <c r="S47" s="144"/>
      <c r="T47" s="144"/>
      <c r="U47" s="552"/>
      <c r="V47" s="144"/>
      <c r="W47" s="144"/>
      <c r="X47" s="144"/>
      <c r="Y47" s="144"/>
    </row>
    <row r="48" spans="1:25" ht="16.5" customHeight="1">
      <c r="B48" s="306"/>
      <c r="C48" s="306"/>
      <c r="D48" s="32" t="str">
        <f>IF(ROUNDDOWN($D$47,0)=$Q$10,$S$10,$R$10)</f>
        <v>　レベル　1</v>
      </c>
      <c r="E48" s="522" t="s">
        <v>715</v>
      </c>
      <c r="F48" s="520"/>
      <c r="G48" s="520"/>
      <c r="H48" s="520"/>
      <c r="I48" s="520"/>
      <c r="J48" s="520"/>
      <c r="K48" s="520"/>
      <c r="L48" s="520"/>
      <c r="M48" s="521"/>
      <c r="N48" s="26"/>
      <c r="O48" s="142"/>
      <c r="P48" s="314">
        <f>$Q$10</f>
        <v>1</v>
      </c>
      <c r="Q48" s="142"/>
      <c r="R48" s="144"/>
      <c r="S48" s="144"/>
      <c r="T48" s="144"/>
      <c r="U48" s="314">
        <f>$Q$10</f>
        <v>1</v>
      </c>
      <c r="V48" s="144"/>
      <c r="W48" s="144"/>
      <c r="X48" s="144"/>
      <c r="Y48" s="144"/>
    </row>
    <row r="49" spans="1:25" ht="16.5" customHeight="1">
      <c r="B49" s="306"/>
      <c r="C49" s="306"/>
      <c r="D49" s="35" t="str">
        <f>IF(ROUNDDOWN($D$47,0)=$Q$11,$S$11,$R$11)</f>
        <v>　レベル　2</v>
      </c>
      <c r="E49" s="523" t="s">
        <v>383</v>
      </c>
      <c r="F49" s="513"/>
      <c r="G49" s="513"/>
      <c r="H49" s="513"/>
      <c r="I49" s="513"/>
      <c r="J49" s="513"/>
      <c r="K49" s="513"/>
      <c r="L49" s="513"/>
      <c r="M49" s="514"/>
      <c r="N49" s="26"/>
      <c r="O49" s="142"/>
      <c r="P49" s="314" t="s">
        <v>768</v>
      </c>
      <c r="Q49" s="142"/>
      <c r="R49" s="144"/>
      <c r="S49" s="144"/>
      <c r="T49" s="144"/>
      <c r="U49" s="314">
        <f>$Q$11</f>
        <v>2</v>
      </c>
      <c r="V49" s="144"/>
      <c r="W49" s="144"/>
      <c r="X49" s="144"/>
      <c r="Y49" s="144"/>
    </row>
    <row r="50" spans="1:25" ht="16.5" customHeight="1">
      <c r="B50" s="306"/>
      <c r="C50" s="306"/>
      <c r="D50" s="35" t="str">
        <f>IF(ROUNDDOWN($D$47,0)=$Q$12,$S$12,$R$12)</f>
        <v>■レベル　3</v>
      </c>
      <c r="E50" s="523" t="s">
        <v>1144</v>
      </c>
      <c r="F50" s="513"/>
      <c r="G50" s="513"/>
      <c r="H50" s="513"/>
      <c r="I50" s="513"/>
      <c r="J50" s="513"/>
      <c r="K50" s="513"/>
      <c r="L50" s="513"/>
      <c r="M50" s="514"/>
      <c r="N50" s="26"/>
      <c r="O50" s="142"/>
      <c r="P50" s="314">
        <f>$Q$12</f>
        <v>3</v>
      </c>
      <c r="Q50" s="142"/>
      <c r="R50" s="144"/>
      <c r="S50" s="144"/>
      <c r="T50" s="144"/>
      <c r="U50" s="314">
        <f>$Q$12</f>
        <v>3</v>
      </c>
      <c r="V50" s="144"/>
      <c r="W50" s="144"/>
      <c r="X50" s="144"/>
      <c r="Y50" s="144"/>
    </row>
    <row r="51" spans="1:25" ht="16.5" customHeight="1">
      <c r="B51" s="306"/>
      <c r="C51" s="306"/>
      <c r="D51" s="35" t="str">
        <f>IF(ROUNDDOWN($D$47,0)=$Q$13,$S$13,$R$13)</f>
        <v>　レベル　4</v>
      </c>
      <c r="E51" s="523" t="s">
        <v>383</v>
      </c>
      <c r="F51" s="513"/>
      <c r="G51" s="513"/>
      <c r="H51" s="513"/>
      <c r="I51" s="513"/>
      <c r="J51" s="513"/>
      <c r="K51" s="513"/>
      <c r="L51" s="513"/>
      <c r="M51" s="514"/>
      <c r="N51" s="26"/>
      <c r="O51" s="142"/>
      <c r="P51" s="314" t="s">
        <v>768</v>
      </c>
      <c r="Q51" s="142"/>
      <c r="R51" s="144"/>
      <c r="S51" s="144"/>
      <c r="T51" s="144"/>
      <c r="U51" s="314">
        <f>$Q$13</f>
        <v>4</v>
      </c>
      <c r="V51" s="144"/>
      <c r="W51" s="144"/>
      <c r="X51" s="144"/>
      <c r="Y51" s="144"/>
    </row>
    <row r="52" spans="1:25" ht="16.5" customHeight="1">
      <c r="B52" s="306"/>
      <c r="C52" s="306"/>
      <c r="D52" s="33" t="str">
        <f>IF(ROUNDDOWN($D$47,0)=$Q$14,$S$14,$R$14)</f>
        <v>　レベル　5</v>
      </c>
      <c r="E52" s="524" t="s">
        <v>1145</v>
      </c>
      <c r="F52" s="509"/>
      <c r="G52" s="509"/>
      <c r="H52" s="509"/>
      <c r="I52" s="509"/>
      <c r="J52" s="509"/>
      <c r="K52" s="509"/>
      <c r="L52" s="509"/>
      <c r="M52" s="510"/>
      <c r="N52" s="26"/>
      <c r="O52" s="142"/>
      <c r="P52" s="314">
        <f>$Q$14</f>
        <v>5</v>
      </c>
      <c r="Q52" s="142"/>
      <c r="R52" s="144"/>
      <c r="S52" s="144"/>
      <c r="T52" s="144"/>
      <c r="U52" s="314">
        <f>$Q$14</f>
        <v>5</v>
      </c>
      <c r="V52" s="144"/>
      <c r="W52" s="144"/>
      <c r="X52" s="144"/>
      <c r="Y52" s="144"/>
    </row>
    <row r="53" spans="1:25" ht="16.5" customHeight="1">
      <c r="B53" s="306"/>
      <c r="C53" s="306"/>
      <c r="D53" s="381"/>
      <c r="E53" s="152" t="s">
        <v>14</v>
      </c>
      <c r="F53" s="51"/>
      <c r="G53" s="151"/>
      <c r="H53" s="40"/>
      <c r="I53" s="40"/>
      <c r="J53" s="51"/>
      <c r="K53" s="51"/>
      <c r="L53" s="51"/>
      <c r="M53" s="51"/>
      <c r="N53" s="26"/>
      <c r="O53" s="142"/>
      <c r="P53" s="321" t="s">
        <v>768</v>
      </c>
      <c r="Q53" s="37"/>
      <c r="R53" s="37"/>
      <c r="S53" s="37"/>
      <c r="T53" s="37"/>
      <c r="U53" s="321">
        <f>$Q$15</f>
        <v>0</v>
      </c>
      <c r="V53" s="37"/>
      <c r="W53" s="37"/>
      <c r="X53" s="37"/>
      <c r="Y53" s="37"/>
    </row>
    <row r="54" spans="1:25" ht="16.5" customHeight="1" thickBot="1">
      <c r="B54" s="306"/>
      <c r="C54" s="306"/>
      <c r="D54" s="381"/>
      <c r="E54" s="140" t="s">
        <v>749</v>
      </c>
      <c r="F54" s="165" t="s">
        <v>750</v>
      </c>
      <c r="G54" s="545" t="s">
        <v>757</v>
      </c>
      <c r="H54" s="546"/>
      <c r="I54" s="546"/>
      <c r="J54" s="546"/>
      <c r="K54" s="546"/>
      <c r="L54" s="546"/>
      <c r="M54" s="547"/>
      <c r="N54" s="26"/>
      <c r="O54" s="142"/>
      <c r="P54" s="37"/>
      <c r="Q54" s="37"/>
      <c r="R54" s="37"/>
      <c r="S54" s="37"/>
      <c r="T54" s="37"/>
      <c r="U54" s="37"/>
      <c r="V54" s="37"/>
      <c r="W54" s="37"/>
      <c r="X54" s="37"/>
      <c r="Y54" s="37"/>
    </row>
    <row r="55" spans="1:25" ht="16.5" customHeight="1">
      <c r="B55" s="306"/>
      <c r="C55" s="26"/>
      <c r="D55" s="381"/>
      <c r="E55" s="375"/>
      <c r="F55" s="512">
        <v>1</v>
      </c>
      <c r="G55" s="541" t="s">
        <v>241</v>
      </c>
      <c r="H55" s="542"/>
      <c r="I55" s="542" t="s">
        <v>246</v>
      </c>
      <c r="J55" s="542"/>
      <c r="K55" s="542"/>
      <c r="L55" s="542"/>
      <c r="M55" s="530"/>
      <c r="N55" s="26"/>
      <c r="O55" s="142"/>
      <c r="P55" s="37"/>
      <c r="Q55" s="37"/>
      <c r="R55" s="37"/>
      <c r="S55" s="37"/>
      <c r="T55" s="37"/>
      <c r="U55" s="37"/>
      <c r="V55" s="37"/>
      <c r="W55" s="37"/>
      <c r="X55" s="37"/>
      <c r="Y55" s="37"/>
    </row>
    <row r="56" spans="1:25" ht="16.5" customHeight="1">
      <c r="B56" s="306"/>
      <c r="C56" s="26"/>
      <c r="D56" s="381"/>
      <c r="E56" s="533" t="s">
        <v>668</v>
      </c>
      <c r="F56" s="548">
        <v>2</v>
      </c>
      <c r="G56" s="535" t="s">
        <v>242</v>
      </c>
      <c r="H56" s="534"/>
      <c r="I56" s="534" t="s">
        <v>649</v>
      </c>
      <c r="J56" s="534"/>
      <c r="K56" s="534"/>
      <c r="L56" s="534"/>
      <c r="M56" s="538"/>
      <c r="N56" s="26"/>
      <c r="O56" s="142"/>
      <c r="P56" s="37"/>
      <c r="Q56" s="37"/>
      <c r="R56" s="37"/>
      <c r="S56" s="37"/>
      <c r="T56" s="37"/>
      <c r="U56" s="37"/>
      <c r="V56" s="37"/>
      <c r="W56" s="37"/>
      <c r="X56" s="37"/>
      <c r="Y56" s="37"/>
    </row>
    <row r="57" spans="1:25" ht="16.5" customHeight="1">
      <c r="B57" s="306"/>
      <c r="C57" s="26"/>
      <c r="D57" s="381"/>
      <c r="E57" s="533"/>
      <c r="F57" s="548">
        <v>3</v>
      </c>
      <c r="G57" s="535" t="s">
        <v>243</v>
      </c>
      <c r="H57" s="534"/>
      <c r="I57" s="537" t="s">
        <v>15</v>
      </c>
      <c r="J57" s="537"/>
      <c r="K57" s="537"/>
      <c r="L57" s="537"/>
      <c r="M57" s="539"/>
      <c r="N57" s="26"/>
      <c r="O57" s="142"/>
      <c r="P57" s="37"/>
      <c r="Q57" s="37"/>
      <c r="R57" s="37"/>
      <c r="S57" s="37"/>
      <c r="T57" s="37"/>
      <c r="U57" s="37"/>
      <c r="V57" s="37"/>
      <c r="W57" s="37"/>
      <c r="X57" s="37"/>
      <c r="Y57" s="37"/>
    </row>
    <row r="58" spans="1:25" ht="16.5" customHeight="1">
      <c r="B58" s="306"/>
      <c r="C58" s="26"/>
      <c r="D58" s="381"/>
      <c r="E58" s="533"/>
      <c r="F58" s="549">
        <v>4</v>
      </c>
      <c r="G58" s="535" t="s">
        <v>245</v>
      </c>
      <c r="H58" s="534"/>
      <c r="I58" s="534" t="s">
        <v>16</v>
      </c>
      <c r="J58" s="534"/>
      <c r="K58" s="534"/>
      <c r="L58" s="534"/>
      <c r="M58" s="538"/>
      <c r="N58" s="26"/>
      <c r="O58" s="142"/>
      <c r="P58" s="37"/>
      <c r="Q58" s="37"/>
      <c r="R58" s="37"/>
      <c r="S58" s="37"/>
      <c r="T58" s="37"/>
      <c r="U58" s="37"/>
      <c r="V58" s="37"/>
      <c r="W58" s="37"/>
      <c r="X58" s="37"/>
      <c r="Y58" s="37"/>
    </row>
    <row r="59" spans="1:25" ht="16.5" customHeight="1" thickBot="1">
      <c r="B59" s="306"/>
      <c r="C59" s="26"/>
      <c r="D59" s="381"/>
      <c r="E59" s="376"/>
      <c r="F59" s="550">
        <v>5</v>
      </c>
      <c r="G59" s="561" t="s">
        <v>244</v>
      </c>
      <c r="H59" s="543"/>
      <c r="I59" s="528" t="s">
        <v>758</v>
      </c>
      <c r="J59" s="528"/>
      <c r="K59" s="528"/>
      <c r="L59" s="528"/>
      <c r="M59" s="527"/>
      <c r="N59" s="26"/>
      <c r="O59" s="142"/>
      <c r="P59" s="37"/>
      <c r="Q59" s="37"/>
      <c r="R59" s="37"/>
      <c r="S59" s="37"/>
      <c r="T59" s="37"/>
      <c r="U59" s="37"/>
      <c r="V59" s="37"/>
      <c r="W59" s="37"/>
      <c r="X59" s="37"/>
      <c r="Y59" s="37"/>
    </row>
    <row r="60" spans="1:25" ht="16.5" customHeight="1">
      <c r="B60" s="306"/>
      <c r="C60" s="26"/>
      <c r="D60" s="381"/>
      <c r="E60" s="596" t="s">
        <v>751</v>
      </c>
      <c r="F60" s="1020">
        <f>COUNTIF(E55:E59,"○")</f>
        <v>1</v>
      </c>
      <c r="G60" s="515"/>
      <c r="H60" s="515"/>
      <c r="I60" s="139"/>
      <c r="J60" s="139"/>
      <c r="K60" s="139"/>
      <c r="L60" s="477"/>
      <c r="M60" s="540"/>
      <c r="N60" s="26"/>
      <c r="O60" s="142"/>
      <c r="P60" s="37"/>
      <c r="Q60" s="37"/>
      <c r="R60" s="37"/>
      <c r="S60" s="37"/>
      <c r="T60" s="37"/>
      <c r="U60" s="37"/>
      <c r="V60" s="37"/>
      <c r="W60" s="37"/>
      <c r="X60" s="37"/>
      <c r="Y60" s="37"/>
    </row>
    <row r="61" spans="1:25" s="144" customFormat="1" ht="8.25" customHeight="1">
      <c r="A61" s="51"/>
      <c r="B61" s="164"/>
      <c r="C61" s="607"/>
      <c r="D61" s="309"/>
      <c r="E61" s="309"/>
      <c r="F61" s="1"/>
      <c r="G61" s="1"/>
      <c r="H61" s="1"/>
      <c r="I61" s="1"/>
      <c r="J61" s="1"/>
      <c r="K61" s="1"/>
      <c r="L61" s="1"/>
      <c r="M61" s="1"/>
      <c r="N61" s="150"/>
      <c r="P61" s="584" t="s">
        <v>60</v>
      </c>
      <c r="Q61" s="324" t="s">
        <v>82</v>
      </c>
      <c r="R61" s="4"/>
      <c r="S61" s="4"/>
      <c r="T61" s="132"/>
    </row>
    <row r="62" spans="1:25" s="144" customFormat="1" ht="21" customHeight="1">
      <c r="A62" s="51"/>
      <c r="B62" s="164"/>
      <c r="C62" s="607"/>
      <c r="E62" s="781" t="s">
        <v>3</v>
      </c>
      <c r="F62" s="782"/>
      <c r="G62" s="1201"/>
      <c r="H62" s="1201"/>
      <c r="I62" s="2388"/>
      <c r="J62" s="2389"/>
      <c r="K62" s="2389"/>
      <c r="L62" s="2389"/>
      <c r="M62" s="2390"/>
      <c r="N62" s="150"/>
      <c r="P62" s="615"/>
      <c r="Q62" s="324"/>
      <c r="R62" s="4"/>
      <c r="S62" s="4"/>
      <c r="T62" s="132"/>
      <c r="U62" s="615"/>
      <c r="V62" s="132"/>
      <c r="W62" s="132"/>
      <c r="X62" s="132"/>
      <c r="Y62" s="132"/>
    </row>
    <row r="63" spans="1:25" ht="15.75">
      <c r="B63" s="306"/>
      <c r="C63" s="26"/>
      <c r="D63" s="51"/>
      <c r="E63" s="51"/>
      <c r="F63" s="51"/>
      <c r="G63" s="51"/>
      <c r="H63" s="40"/>
      <c r="I63" s="40"/>
      <c r="J63" s="51"/>
      <c r="K63" s="51"/>
      <c r="L63" s="51"/>
      <c r="M63" s="51"/>
      <c r="N63" s="26"/>
      <c r="O63" s="142"/>
      <c r="P63" s="37"/>
      <c r="Q63" s="37"/>
      <c r="R63" s="37"/>
      <c r="S63" s="37"/>
      <c r="T63" s="37"/>
      <c r="U63" s="37"/>
      <c r="V63" s="37"/>
      <c r="W63" s="37"/>
      <c r="X63" s="37"/>
      <c r="Y63" s="37"/>
    </row>
    <row r="64" spans="1:25" ht="15.75">
      <c r="B64" s="1064">
        <v>3</v>
      </c>
      <c r="C64" s="30" t="s">
        <v>498</v>
      </c>
      <c r="D64" s="147"/>
      <c r="E64" s="150"/>
      <c r="F64" s="150"/>
      <c r="G64" s="44"/>
      <c r="H64" s="150"/>
      <c r="I64" s="150"/>
      <c r="J64" s="150"/>
      <c r="K64" s="150"/>
      <c r="L64" s="150"/>
      <c r="M64" s="150"/>
      <c r="N64" s="29"/>
      <c r="O64" s="142"/>
      <c r="P64" s="552"/>
      <c r="Q64" s="552"/>
      <c r="R64" s="552"/>
      <c r="S64" s="552"/>
      <c r="T64" s="552"/>
      <c r="U64" s="552"/>
      <c r="V64" s="552"/>
      <c r="W64" s="552"/>
      <c r="X64" s="552"/>
      <c r="Y64" s="552"/>
    </row>
    <row r="65" spans="2:25" ht="16.5" customHeight="1" thickBot="1">
      <c r="B65" s="147"/>
      <c r="C65" s="30"/>
      <c r="D65" s="155"/>
      <c r="E65" s="155"/>
      <c r="F65" s="51"/>
      <c r="G65" s="525"/>
      <c r="H65" s="51"/>
      <c r="I65" s="51"/>
      <c r="J65" s="51"/>
      <c r="K65" s="150"/>
      <c r="L65" s="176" t="s">
        <v>2</v>
      </c>
      <c r="M65" s="373">
        <f>重み!M49</f>
        <v>0.2</v>
      </c>
      <c r="N65" s="26"/>
      <c r="O65" s="144">
        <f t="shared" ref="O65:Y65" si="3">C65</f>
        <v>0</v>
      </c>
      <c r="P65" s="144">
        <f t="shared" si="3"/>
        <v>0</v>
      </c>
      <c r="Q65" s="144">
        <f t="shared" si="3"/>
        <v>0</v>
      </c>
      <c r="R65" s="144">
        <f t="shared" si="3"/>
        <v>0</v>
      </c>
      <c r="S65" s="144">
        <f t="shared" si="3"/>
        <v>0</v>
      </c>
      <c r="T65" s="144">
        <f t="shared" si="3"/>
        <v>0</v>
      </c>
      <c r="U65" s="144">
        <f t="shared" si="3"/>
        <v>0</v>
      </c>
      <c r="V65" s="144">
        <f t="shared" si="3"/>
        <v>0</v>
      </c>
      <c r="W65" s="144">
        <f t="shared" si="3"/>
        <v>0</v>
      </c>
      <c r="X65" s="144" t="str">
        <f t="shared" si="3"/>
        <v>重み係数＝</v>
      </c>
      <c r="Y65" s="144">
        <f t="shared" si="3"/>
        <v>0.2</v>
      </c>
    </row>
    <row r="66" spans="2:25" ht="16.5" customHeight="1" thickBot="1">
      <c r="B66" s="306"/>
      <c r="C66" s="306"/>
      <c r="D66" s="1050">
        <f>ROUND(IF(F80=0,1,IF(F80&lt;=1,2,IF(F80&lt;=2,3,IF(F80&lt;=3,4,5)))),0)</f>
        <v>2</v>
      </c>
      <c r="E66" s="2391" t="s">
        <v>391</v>
      </c>
      <c r="F66" s="2392"/>
      <c r="G66" s="2392"/>
      <c r="H66" s="2392"/>
      <c r="I66" s="2392"/>
      <c r="J66" s="2392"/>
      <c r="K66" s="2392"/>
      <c r="L66" s="2392"/>
      <c r="M66" s="2393"/>
      <c r="N66" s="26"/>
      <c r="O66" s="142"/>
      <c r="P66" s="142"/>
      <c r="Q66" s="142"/>
      <c r="R66" s="144"/>
      <c r="S66" s="144"/>
      <c r="T66" s="144"/>
      <c r="U66" s="144"/>
      <c r="V66" s="144"/>
      <c r="W66" s="144"/>
      <c r="X66" s="144"/>
      <c r="Y66" s="144"/>
    </row>
    <row r="67" spans="2:25" ht="16.5" customHeight="1">
      <c r="B67" s="306"/>
      <c r="C67" s="306"/>
      <c r="D67" s="32" t="str">
        <f>IF(ROUNDDOWN($D$66,0)=$Q$10,$S$10,$R$10)</f>
        <v>　レベル　1</v>
      </c>
      <c r="E67" s="522" t="s">
        <v>1146</v>
      </c>
      <c r="F67" s="520"/>
      <c r="G67" s="520"/>
      <c r="H67" s="520"/>
      <c r="I67" s="520"/>
      <c r="J67" s="520"/>
      <c r="K67" s="520"/>
      <c r="L67" s="520"/>
      <c r="M67" s="521"/>
      <c r="N67" s="26"/>
      <c r="O67" s="142"/>
      <c r="P67" s="314" t="s">
        <v>768</v>
      </c>
      <c r="Q67" s="142"/>
      <c r="R67" s="144"/>
      <c r="S67" s="144"/>
      <c r="T67" s="144"/>
      <c r="U67" s="314">
        <f>$Q$10</f>
        <v>1</v>
      </c>
      <c r="V67" s="144"/>
      <c r="W67" s="144"/>
      <c r="X67" s="144"/>
      <c r="Y67" s="144"/>
    </row>
    <row r="68" spans="2:25" ht="16.5" customHeight="1">
      <c r="B68" s="306"/>
      <c r="C68" s="306"/>
      <c r="D68" s="35" t="str">
        <f>IF(ROUNDDOWN($D$66,0)=$Q$11,$S$11,$R$11)</f>
        <v>■レベル　2</v>
      </c>
      <c r="E68" s="523" t="s">
        <v>1147</v>
      </c>
      <c r="F68" s="513"/>
      <c r="G68" s="513"/>
      <c r="H68" s="513"/>
      <c r="I68" s="513"/>
      <c r="J68" s="513"/>
      <c r="K68" s="513"/>
      <c r="L68" s="513"/>
      <c r="M68" s="514"/>
      <c r="N68" s="26"/>
      <c r="O68" s="142"/>
      <c r="P68" s="314" t="s">
        <v>768</v>
      </c>
      <c r="Q68" s="142"/>
      <c r="R68" s="144"/>
      <c r="S68" s="144"/>
      <c r="T68" s="144"/>
      <c r="U68" s="314">
        <f>$Q$11</f>
        <v>2</v>
      </c>
      <c r="V68" s="144"/>
      <c r="W68" s="144"/>
      <c r="X68" s="144"/>
      <c r="Y68" s="144"/>
    </row>
    <row r="69" spans="2:25" ht="16.5" customHeight="1">
      <c r="B69" s="306"/>
      <c r="C69" s="306"/>
      <c r="D69" s="35" t="str">
        <f>IF(ROUNDDOWN($D$66,0)=$Q$12,$S$12,$R$12)</f>
        <v>　レベル　3</v>
      </c>
      <c r="E69" s="523" t="s">
        <v>1148</v>
      </c>
      <c r="F69" s="513"/>
      <c r="G69" s="513"/>
      <c r="H69" s="513"/>
      <c r="I69" s="513"/>
      <c r="J69" s="513"/>
      <c r="K69" s="513"/>
      <c r="L69" s="513"/>
      <c r="M69" s="514"/>
      <c r="N69" s="26"/>
      <c r="O69" s="142"/>
      <c r="P69" s="314">
        <f>$Q$12</f>
        <v>3</v>
      </c>
      <c r="Q69" s="142"/>
      <c r="R69" s="144"/>
      <c r="S69" s="144"/>
      <c r="T69" s="144"/>
      <c r="U69" s="314">
        <f>$Q$12</f>
        <v>3</v>
      </c>
      <c r="V69" s="144"/>
      <c r="W69" s="144"/>
      <c r="X69" s="144"/>
      <c r="Y69" s="144"/>
    </row>
    <row r="70" spans="2:25" ht="16.5" customHeight="1">
      <c r="B70" s="306"/>
      <c r="C70" s="306"/>
      <c r="D70" s="35" t="str">
        <f>IF(ROUNDDOWN($D$66,0)=$Q$13,$S$13,$R$13)</f>
        <v>　レベル　4</v>
      </c>
      <c r="E70" s="523" t="s">
        <v>1149</v>
      </c>
      <c r="F70" s="513"/>
      <c r="G70" s="513"/>
      <c r="H70" s="513"/>
      <c r="I70" s="513"/>
      <c r="J70" s="513"/>
      <c r="K70" s="513"/>
      <c r="L70" s="513"/>
      <c r="M70" s="514"/>
      <c r="N70" s="26"/>
      <c r="O70" s="142"/>
      <c r="P70" s="314">
        <f>$Q$13</f>
        <v>4</v>
      </c>
      <c r="Q70" s="142"/>
      <c r="R70" s="144"/>
      <c r="S70" s="144"/>
      <c r="T70" s="144"/>
      <c r="U70" s="314">
        <f>$Q$13</f>
        <v>4</v>
      </c>
      <c r="V70" s="144"/>
      <c r="W70" s="144"/>
      <c r="X70" s="144"/>
      <c r="Y70" s="144"/>
    </row>
    <row r="71" spans="2:25" ht="16.5" customHeight="1">
      <c r="B71" s="306"/>
      <c r="C71" s="306"/>
      <c r="D71" s="33" t="str">
        <f>IF(ROUNDDOWN($D$66,0)=$Q$14,$S$14,$R$14)</f>
        <v>　レベル　5</v>
      </c>
      <c r="E71" s="524" t="s">
        <v>1150</v>
      </c>
      <c r="F71" s="509"/>
      <c r="G71" s="509"/>
      <c r="H71" s="509"/>
      <c r="I71" s="509"/>
      <c r="J71" s="509"/>
      <c r="K71" s="509"/>
      <c r="L71" s="509"/>
      <c r="M71" s="510"/>
      <c r="N71" s="26"/>
      <c r="O71" s="142"/>
      <c r="P71" s="314">
        <f>$Q$14</f>
        <v>5</v>
      </c>
      <c r="Q71" s="142"/>
      <c r="R71" s="144"/>
      <c r="S71" s="144"/>
      <c r="T71" s="144"/>
      <c r="U71" s="314">
        <f>$Q$14</f>
        <v>5</v>
      </c>
      <c r="V71" s="144"/>
      <c r="W71" s="144"/>
      <c r="X71" s="144"/>
      <c r="Y71" s="144"/>
    </row>
    <row r="72" spans="2:25" ht="16.5" customHeight="1">
      <c r="B72" s="51"/>
      <c r="C72" s="26"/>
      <c r="D72" s="26"/>
      <c r="E72" s="152" t="s">
        <v>14</v>
      </c>
      <c r="F72" s="51"/>
      <c r="G72" s="151"/>
      <c r="H72" s="40"/>
      <c r="I72" s="40"/>
      <c r="J72" s="51"/>
      <c r="K72" s="51"/>
      <c r="L72" s="51"/>
      <c r="M72" s="51"/>
      <c r="N72" s="26"/>
      <c r="O72" s="37"/>
      <c r="P72" s="321" t="s">
        <v>768</v>
      </c>
      <c r="Q72" s="37"/>
      <c r="R72" s="37"/>
      <c r="S72" s="37"/>
      <c r="T72" s="37"/>
      <c r="U72" s="321">
        <f>$Q$15</f>
        <v>0</v>
      </c>
      <c r="V72" s="37"/>
      <c r="W72" s="37"/>
      <c r="X72" s="37"/>
      <c r="Y72" s="37"/>
    </row>
    <row r="73" spans="2:25" ht="16.5" thickBot="1">
      <c r="B73" s="306"/>
      <c r="C73" s="381"/>
      <c r="D73" s="381"/>
      <c r="E73" s="140" t="s">
        <v>749</v>
      </c>
      <c r="F73" s="1024" t="s">
        <v>17</v>
      </c>
      <c r="G73" s="511" t="s">
        <v>750</v>
      </c>
      <c r="H73" s="2426" t="s">
        <v>667</v>
      </c>
      <c r="I73" s="2427"/>
      <c r="J73" s="2427"/>
      <c r="K73" s="2427"/>
      <c r="L73" s="2427"/>
      <c r="M73" s="2428"/>
      <c r="N73" s="26"/>
      <c r="O73" s="37"/>
      <c r="P73" s="37"/>
      <c r="Q73" s="37"/>
      <c r="R73" s="37"/>
      <c r="S73" s="37"/>
      <c r="T73" s="37"/>
      <c r="U73" s="37"/>
      <c r="V73" s="37"/>
      <c r="W73" s="37"/>
      <c r="X73" s="37"/>
      <c r="Y73" s="37"/>
    </row>
    <row r="74" spans="2:25" ht="15.75">
      <c r="B74" s="306"/>
      <c r="C74" s="381"/>
      <c r="D74" s="381"/>
      <c r="E74" s="375"/>
      <c r="F74" s="2439" t="s">
        <v>627</v>
      </c>
      <c r="G74" s="740">
        <v>1</v>
      </c>
      <c r="H74" s="541" t="s">
        <v>146</v>
      </c>
      <c r="I74" s="542"/>
      <c r="J74" s="542"/>
      <c r="K74" s="542"/>
      <c r="L74" s="542"/>
      <c r="M74" s="530"/>
      <c r="N74" s="26"/>
      <c r="O74" s="37"/>
      <c r="P74" s="37"/>
      <c r="Q74" s="37"/>
      <c r="R74" s="37"/>
      <c r="S74" s="37"/>
      <c r="T74" s="37"/>
      <c r="U74" s="37"/>
      <c r="V74" s="37"/>
      <c r="W74" s="37"/>
      <c r="X74" s="37"/>
      <c r="Y74" s="37"/>
    </row>
    <row r="75" spans="2:25" ht="15.75">
      <c r="B75" s="306"/>
      <c r="C75" s="381"/>
      <c r="D75" s="381"/>
      <c r="E75" s="533"/>
      <c r="F75" s="2440"/>
      <c r="G75" s="575">
        <v>2</v>
      </c>
      <c r="H75" s="535" t="s">
        <v>759</v>
      </c>
      <c r="I75" s="534"/>
      <c r="J75" s="534"/>
      <c r="K75" s="534"/>
      <c r="L75" s="534"/>
      <c r="M75" s="538"/>
      <c r="N75" s="26"/>
      <c r="O75" s="37"/>
      <c r="P75" s="37"/>
      <c r="Q75" s="37"/>
      <c r="R75" s="37"/>
      <c r="S75" s="37"/>
      <c r="T75" s="37"/>
      <c r="U75" s="37"/>
      <c r="V75" s="37"/>
      <c r="W75" s="37"/>
      <c r="X75" s="37"/>
      <c r="Y75" s="37"/>
    </row>
    <row r="76" spans="2:25" ht="15.75">
      <c r="B76" s="306"/>
      <c r="C76" s="381"/>
      <c r="D76" s="381"/>
      <c r="E76" s="533" t="s">
        <v>668</v>
      </c>
      <c r="F76" s="2441"/>
      <c r="G76" s="575">
        <v>3</v>
      </c>
      <c r="H76" s="535" t="s">
        <v>147</v>
      </c>
      <c r="I76" s="534"/>
      <c r="J76" s="534"/>
      <c r="K76" s="534"/>
      <c r="L76" s="534"/>
      <c r="M76" s="538"/>
      <c r="N76" s="26"/>
      <c r="O76" s="37"/>
      <c r="P76" s="37"/>
      <c r="Q76" s="37"/>
      <c r="R76" s="37"/>
      <c r="S76" s="37"/>
      <c r="T76" s="37"/>
      <c r="U76" s="37"/>
      <c r="V76" s="37"/>
      <c r="W76" s="37"/>
      <c r="X76" s="37"/>
      <c r="Y76" s="37"/>
    </row>
    <row r="77" spans="2:25" ht="15.75">
      <c r="B77" s="306"/>
      <c r="C77" s="381"/>
      <c r="D77" s="381"/>
      <c r="E77" s="533"/>
      <c r="F77" s="2442" t="s">
        <v>131</v>
      </c>
      <c r="G77" s="1292">
        <v>4</v>
      </c>
      <c r="H77" s="535" t="s">
        <v>130</v>
      </c>
      <c r="I77" s="534"/>
      <c r="J77" s="534"/>
      <c r="K77" s="534"/>
      <c r="L77" s="534"/>
      <c r="M77" s="538"/>
      <c r="N77" s="26"/>
      <c r="O77" s="37"/>
      <c r="P77" s="37"/>
      <c r="Q77" s="37"/>
      <c r="R77" s="37"/>
      <c r="S77" s="37"/>
      <c r="T77" s="37"/>
      <c r="U77" s="37"/>
      <c r="V77" s="37"/>
      <c r="W77" s="37"/>
      <c r="X77" s="37"/>
      <c r="Y77" s="37"/>
    </row>
    <row r="78" spans="2:25" ht="16.5" thickBot="1">
      <c r="B78" s="306"/>
      <c r="C78" s="381"/>
      <c r="D78" s="381"/>
      <c r="E78" s="533"/>
      <c r="F78" s="2441"/>
      <c r="G78" s="575">
        <v>5</v>
      </c>
      <c r="H78" s="535" t="s">
        <v>1151</v>
      </c>
      <c r="I78" s="534"/>
      <c r="J78" s="534"/>
      <c r="K78" s="534"/>
      <c r="L78" s="534"/>
      <c r="M78" s="538"/>
      <c r="N78" s="26"/>
      <c r="O78" s="37"/>
      <c r="P78" s="37"/>
      <c r="Q78" s="37"/>
      <c r="R78" s="37"/>
      <c r="S78" s="37"/>
      <c r="T78" s="37"/>
      <c r="U78" s="37"/>
      <c r="V78" s="37"/>
      <c r="W78" s="37"/>
      <c r="X78" s="37"/>
      <c r="Y78" s="37"/>
    </row>
    <row r="79" spans="2:25" ht="16.5" thickBot="1">
      <c r="B79" s="306"/>
      <c r="C79" s="381"/>
      <c r="D79" s="381"/>
      <c r="E79" s="1913"/>
      <c r="F79" s="629" t="s">
        <v>799</v>
      </c>
      <c r="G79" s="575">
        <v>6</v>
      </c>
      <c r="H79" s="544" t="s">
        <v>1152</v>
      </c>
      <c r="I79" s="528"/>
      <c r="J79" s="528"/>
      <c r="K79" s="528"/>
      <c r="L79" s="528"/>
      <c r="M79" s="527"/>
      <c r="N79" s="26"/>
      <c r="O79" s="37"/>
      <c r="P79" s="37"/>
      <c r="Q79" s="37"/>
      <c r="R79" s="37"/>
      <c r="S79" s="37"/>
      <c r="T79" s="37"/>
      <c r="U79" s="37"/>
      <c r="V79" s="37"/>
      <c r="W79" s="37"/>
      <c r="X79" s="37"/>
      <c r="Y79" s="37"/>
    </row>
    <row r="80" spans="2:25" ht="15.75">
      <c r="B80" s="306"/>
      <c r="C80" s="381"/>
      <c r="D80" s="381"/>
      <c r="E80" s="596" t="s">
        <v>751</v>
      </c>
      <c r="F80" s="1020">
        <f>COUNTIF(E74:E78,"○")+E79</f>
        <v>1</v>
      </c>
      <c r="G80" s="506"/>
      <c r="H80" s="506"/>
      <c r="I80" s="370"/>
      <c r="J80" s="371"/>
      <c r="K80" s="370"/>
      <c r="L80" s="371"/>
      <c r="M80" s="372"/>
      <c r="N80" s="26"/>
      <c r="O80" s="37"/>
      <c r="P80" s="37"/>
      <c r="Q80" s="37"/>
      <c r="R80" s="37"/>
      <c r="S80" s="37"/>
      <c r="T80" s="37"/>
      <c r="U80" s="37"/>
      <c r="V80" s="37"/>
      <c r="W80" s="37"/>
      <c r="X80" s="37"/>
      <c r="Y80" s="37"/>
    </row>
    <row r="81" spans="1:25" s="144" customFormat="1" ht="8.25" customHeight="1">
      <c r="A81" s="51"/>
      <c r="B81" s="164"/>
      <c r="C81" s="607"/>
      <c r="D81" s="309"/>
      <c r="E81" s="309"/>
      <c r="F81" s="1"/>
      <c r="G81" s="1"/>
      <c r="H81" s="1"/>
      <c r="I81" s="1"/>
      <c r="J81" s="1"/>
      <c r="K81" s="1"/>
      <c r="L81" s="1"/>
      <c r="M81" s="1"/>
      <c r="N81" s="150"/>
      <c r="P81" s="584" t="s">
        <v>60</v>
      </c>
      <c r="Q81" s="324" t="s">
        <v>82</v>
      </c>
      <c r="R81" s="4"/>
      <c r="S81" s="4"/>
      <c r="T81" s="132"/>
    </row>
    <row r="82" spans="1:25" s="144" customFormat="1" ht="21" customHeight="1">
      <c r="A82" s="51"/>
      <c r="B82" s="164"/>
      <c r="C82" s="607"/>
      <c r="E82" s="781" t="s">
        <v>3</v>
      </c>
      <c r="F82" s="782"/>
      <c r="G82" s="1201"/>
      <c r="H82" s="1201"/>
      <c r="I82" s="2388"/>
      <c r="J82" s="2389"/>
      <c r="K82" s="2389"/>
      <c r="L82" s="2389"/>
      <c r="M82" s="2390"/>
      <c r="N82" s="150"/>
      <c r="P82" s="615"/>
      <c r="Q82" s="324"/>
      <c r="R82" s="4"/>
      <c r="S82" s="4"/>
      <c r="T82" s="132"/>
      <c r="U82" s="615"/>
      <c r="V82" s="132"/>
      <c r="W82" s="132"/>
      <c r="X82" s="132"/>
      <c r="Y82" s="132"/>
    </row>
    <row r="83" spans="1:25" ht="15.75">
      <c r="B83" s="306"/>
      <c r="C83" s="381"/>
      <c r="D83" s="381"/>
      <c r="E83" s="526"/>
      <c r="F83" s="526"/>
      <c r="G83" s="526"/>
      <c r="H83" s="526"/>
      <c r="I83" s="526"/>
      <c r="J83" s="526"/>
      <c r="K83" s="526"/>
      <c r="L83" s="526"/>
      <c r="M83" s="526"/>
      <c r="N83" s="526"/>
      <c r="O83" s="517"/>
      <c r="P83" s="37"/>
      <c r="Q83" s="37"/>
      <c r="R83" s="37"/>
      <c r="S83" s="37"/>
      <c r="T83" s="37"/>
      <c r="U83" s="37"/>
      <c r="V83" s="37"/>
      <c r="W83" s="37"/>
      <c r="X83" s="37"/>
      <c r="Y83" s="37"/>
    </row>
    <row r="84" spans="1:25" ht="15.75">
      <c r="B84" s="1064">
        <v>4</v>
      </c>
      <c r="C84" s="30" t="s">
        <v>760</v>
      </c>
      <c r="D84" s="147"/>
      <c r="E84" s="150"/>
      <c r="F84" s="150"/>
      <c r="G84" s="44"/>
      <c r="H84" s="150"/>
      <c r="I84" s="150"/>
      <c r="J84" s="150"/>
      <c r="K84" s="150"/>
      <c r="L84" s="150"/>
      <c r="M84" s="150"/>
      <c r="N84" s="29"/>
      <c r="O84" s="552"/>
      <c r="P84" s="552"/>
      <c r="Q84" s="552"/>
      <c r="R84" s="552"/>
      <c r="S84" s="552"/>
      <c r="T84" s="552"/>
      <c r="U84" s="552"/>
      <c r="V84" s="552"/>
      <c r="W84" s="552"/>
      <c r="X84" s="552"/>
      <c r="Y84" s="552"/>
    </row>
    <row r="85" spans="1:25" ht="16.5" customHeight="1" thickBot="1">
      <c r="B85" s="147"/>
      <c r="C85" s="30"/>
      <c r="D85" s="155"/>
      <c r="E85" s="155"/>
      <c r="F85" s="51"/>
      <c r="G85" s="525"/>
      <c r="H85" s="51"/>
      <c r="I85" s="51"/>
      <c r="J85" s="51"/>
      <c r="K85" s="150"/>
      <c r="L85" s="176" t="s">
        <v>2</v>
      </c>
      <c r="M85" s="373">
        <f>重み!M50</f>
        <v>0.2</v>
      </c>
      <c r="N85" s="26"/>
      <c r="O85" s="144">
        <f t="shared" ref="O85:Y85" si="4">C85</f>
        <v>0</v>
      </c>
      <c r="P85" s="144">
        <f t="shared" si="4"/>
        <v>0</v>
      </c>
      <c r="Q85" s="144">
        <f t="shared" si="4"/>
        <v>0</v>
      </c>
      <c r="R85" s="144">
        <f t="shared" si="4"/>
        <v>0</v>
      </c>
      <c r="S85" s="144">
        <f t="shared" si="4"/>
        <v>0</v>
      </c>
      <c r="T85" s="144">
        <f t="shared" si="4"/>
        <v>0</v>
      </c>
      <c r="U85" s="144">
        <f t="shared" si="4"/>
        <v>0</v>
      </c>
      <c r="V85" s="144">
        <f t="shared" si="4"/>
        <v>0</v>
      </c>
      <c r="W85" s="144">
        <f t="shared" si="4"/>
        <v>0</v>
      </c>
      <c r="X85" s="144" t="str">
        <f t="shared" si="4"/>
        <v>重み係数＝</v>
      </c>
      <c r="Y85" s="144">
        <f t="shared" si="4"/>
        <v>0.2</v>
      </c>
    </row>
    <row r="86" spans="1:25" ht="16.5" customHeight="1" thickBot="1">
      <c r="B86" s="306"/>
      <c r="C86" s="306"/>
      <c r="D86" s="1050">
        <f>ROUND(IF(F102=0,2,IF(F102&lt;=1,3,IF(F102&lt;=2,4,5))),0)</f>
        <v>2</v>
      </c>
      <c r="E86" s="2391" t="s">
        <v>391</v>
      </c>
      <c r="F86" s="2392"/>
      <c r="G86" s="2392"/>
      <c r="H86" s="2392"/>
      <c r="I86" s="2392"/>
      <c r="J86" s="2392"/>
      <c r="K86" s="2392"/>
      <c r="L86" s="2392"/>
      <c r="M86" s="2393"/>
      <c r="N86" s="26"/>
      <c r="O86" s="142"/>
      <c r="P86" s="552"/>
      <c r="Q86" s="142"/>
      <c r="R86" s="144"/>
      <c r="S86" s="144"/>
      <c r="T86" s="144"/>
      <c r="U86" s="552"/>
      <c r="V86" s="144"/>
      <c r="W86" s="144"/>
      <c r="X86" s="144"/>
      <c r="Y86" s="144"/>
    </row>
    <row r="87" spans="1:25" ht="16.5" customHeight="1">
      <c r="B87" s="306"/>
      <c r="C87" s="306"/>
      <c r="D87" s="32" t="str">
        <f>IF(ROUNDDOWN($D$86,0)=$Q$10,$S$10,$R$10)</f>
        <v>　レベル　1</v>
      </c>
      <c r="E87" s="522" t="s">
        <v>383</v>
      </c>
      <c r="F87" s="520"/>
      <c r="G87" s="520"/>
      <c r="H87" s="520"/>
      <c r="I87" s="520"/>
      <c r="J87" s="520"/>
      <c r="K87" s="520"/>
      <c r="L87" s="520"/>
      <c r="M87" s="521"/>
      <c r="N87" s="26"/>
      <c r="O87" s="142"/>
      <c r="P87" s="314" t="s">
        <v>768</v>
      </c>
      <c r="Q87" s="142"/>
      <c r="R87" s="144"/>
      <c r="S87" s="144"/>
      <c r="T87" s="144"/>
      <c r="U87" s="314">
        <f>$Q$10</f>
        <v>1</v>
      </c>
      <c r="V87" s="144"/>
      <c r="W87" s="144"/>
      <c r="X87" s="144"/>
      <c r="Y87" s="144"/>
    </row>
    <row r="88" spans="1:25" ht="16.5" customHeight="1">
      <c r="B88" s="306"/>
      <c r="C88" s="306"/>
      <c r="D88" s="35" t="str">
        <f>IF(ROUNDDOWN($D$86,0)=$Q$11,$S$11,$R$11)</f>
        <v>■レベル　2</v>
      </c>
      <c r="E88" s="523" t="s">
        <v>1153</v>
      </c>
      <c r="F88" s="513"/>
      <c r="G88" s="513"/>
      <c r="H88" s="513"/>
      <c r="I88" s="513"/>
      <c r="J88" s="513"/>
      <c r="K88" s="513"/>
      <c r="L88" s="513"/>
      <c r="M88" s="514"/>
      <c r="N88" s="26"/>
      <c r="O88" s="142"/>
      <c r="P88" s="314" t="s">
        <v>768</v>
      </c>
      <c r="Q88" s="142"/>
      <c r="R88" s="144"/>
      <c r="S88" s="144"/>
      <c r="T88" s="144"/>
      <c r="U88" s="314">
        <f>$Q$11</f>
        <v>2</v>
      </c>
      <c r="V88" s="144"/>
      <c r="W88" s="144"/>
      <c r="X88" s="144"/>
      <c r="Y88" s="144"/>
    </row>
    <row r="89" spans="1:25" ht="16.5" customHeight="1">
      <c r="B89" s="306"/>
      <c r="C89" s="306"/>
      <c r="D89" s="35" t="str">
        <f>IF(ROUNDDOWN($D$86,0)=$Q$12,$S$12,$R$12)</f>
        <v>　レベル　3</v>
      </c>
      <c r="E89" s="523" t="s">
        <v>1154</v>
      </c>
      <c r="F89" s="513"/>
      <c r="G89" s="513"/>
      <c r="H89" s="513"/>
      <c r="I89" s="513"/>
      <c r="J89" s="513"/>
      <c r="K89" s="513"/>
      <c r="L89" s="513"/>
      <c r="M89" s="514"/>
      <c r="N89" s="26"/>
      <c r="O89" s="142"/>
      <c r="P89" s="314">
        <f>$Q$12</f>
        <v>3</v>
      </c>
      <c r="Q89" s="142"/>
      <c r="R89" s="144"/>
      <c r="S89" s="144"/>
      <c r="T89" s="144"/>
      <c r="U89" s="314">
        <f>$Q$12</f>
        <v>3</v>
      </c>
      <c r="V89" s="144"/>
      <c r="W89" s="144"/>
      <c r="X89" s="144"/>
      <c r="Y89" s="144"/>
    </row>
    <row r="90" spans="1:25" ht="16.5" customHeight="1">
      <c r="B90" s="306"/>
      <c r="C90" s="306"/>
      <c r="D90" s="35" t="str">
        <f>IF(ROUNDDOWN($D$86,0)=$Q$13,$S$13,$R$13)</f>
        <v>　レベル　4</v>
      </c>
      <c r="E90" s="523" t="s">
        <v>1155</v>
      </c>
      <c r="F90" s="513"/>
      <c r="G90" s="513"/>
      <c r="H90" s="513"/>
      <c r="I90" s="513"/>
      <c r="J90" s="513"/>
      <c r="K90" s="513"/>
      <c r="L90" s="513"/>
      <c r="M90" s="514"/>
      <c r="N90" s="26"/>
      <c r="O90" s="142"/>
      <c r="P90" s="314">
        <f>$Q$13</f>
        <v>4</v>
      </c>
      <c r="Q90" s="142"/>
      <c r="R90" s="144"/>
      <c r="S90" s="144"/>
      <c r="T90" s="144"/>
      <c r="U90" s="314">
        <f>$Q$13</f>
        <v>4</v>
      </c>
      <c r="V90" s="144"/>
      <c r="W90" s="144"/>
      <c r="X90" s="144"/>
      <c r="Y90" s="144"/>
    </row>
    <row r="91" spans="1:25" ht="16.5" customHeight="1">
      <c r="B91" s="306"/>
      <c r="C91" s="306"/>
      <c r="D91" s="33" t="str">
        <f>IF(ROUNDDOWN($D$86,0)=$Q$14,$S$14,$R$14)</f>
        <v>　レベル　5</v>
      </c>
      <c r="E91" s="524" t="s">
        <v>1156</v>
      </c>
      <c r="F91" s="509"/>
      <c r="G91" s="509"/>
      <c r="H91" s="509"/>
      <c r="I91" s="509"/>
      <c r="J91" s="509"/>
      <c r="K91" s="509"/>
      <c r="L91" s="509"/>
      <c r="M91" s="510"/>
      <c r="N91" s="26"/>
      <c r="O91" s="142"/>
      <c r="P91" s="314">
        <f>$Q$14</f>
        <v>5</v>
      </c>
      <c r="Q91" s="142"/>
      <c r="R91" s="144"/>
      <c r="S91" s="144"/>
      <c r="T91" s="144"/>
      <c r="U91" s="314">
        <f>$Q$14</f>
        <v>5</v>
      </c>
      <c r="V91" s="144"/>
      <c r="W91" s="144"/>
      <c r="X91" s="144"/>
      <c r="Y91" s="144"/>
    </row>
    <row r="92" spans="1:25" s="1865" customFormat="1" ht="16.5" customHeight="1">
      <c r="B92" s="306"/>
      <c r="C92" s="381"/>
      <c r="D92" s="381"/>
      <c r="E92" s="152" t="s">
        <v>1064</v>
      </c>
      <c r="F92" s="51"/>
      <c r="G92" s="151"/>
      <c r="H92" s="40"/>
      <c r="I92" s="40"/>
      <c r="J92" s="51"/>
      <c r="K92" s="51"/>
      <c r="L92" s="51"/>
      <c r="M92" s="51"/>
      <c r="N92" s="26"/>
      <c r="O92" s="142"/>
      <c r="P92" s="1872" t="s">
        <v>768</v>
      </c>
      <c r="Q92" s="37"/>
      <c r="R92" s="37"/>
      <c r="S92" s="37"/>
      <c r="T92" s="37"/>
      <c r="U92" s="37"/>
      <c r="V92" s="37"/>
      <c r="W92" s="37"/>
      <c r="X92" s="37"/>
      <c r="Y92" s="37"/>
    </row>
    <row r="93" spans="1:25" s="1865" customFormat="1" ht="16.5" thickBot="1">
      <c r="B93" s="306"/>
      <c r="C93" s="381"/>
      <c r="D93" s="381"/>
      <c r="E93" s="1789" t="s">
        <v>749</v>
      </c>
      <c r="F93" s="546" t="s">
        <v>17</v>
      </c>
      <c r="G93" s="511" t="s">
        <v>750</v>
      </c>
      <c r="H93" s="545" t="s">
        <v>1065</v>
      </c>
      <c r="I93" s="546"/>
      <c r="J93" s="546"/>
      <c r="K93" s="546"/>
      <c r="L93" s="546"/>
      <c r="M93" s="547"/>
      <c r="N93" s="26"/>
      <c r="O93" s="142"/>
      <c r="P93" s="37"/>
      <c r="Q93" s="37"/>
      <c r="R93" s="37"/>
      <c r="S93" s="37"/>
      <c r="T93" s="37"/>
      <c r="U93" s="37"/>
      <c r="V93" s="37"/>
      <c r="W93" s="37"/>
      <c r="X93" s="37"/>
      <c r="Y93" s="37"/>
    </row>
    <row r="94" spans="1:25" s="1865" customFormat="1" ht="15.75">
      <c r="B94" s="306"/>
      <c r="C94" s="381"/>
      <c r="D94" s="381"/>
      <c r="E94" s="1898"/>
      <c r="F94" s="2422" t="s">
        <v>1066</v>
      </c>
      <c r="G94" s="512">
        <v>1</v>
      </c>
      <c r="H94" s="541" t="s">
        <v>1067</v>
      </c>
      <c r="I94" s="542"/>
      <c r="J94" s="542"/>
      <c r="K94" s="542"/>
      <c r="L94" s="542"/>
      <c r="M94" s="530"/>
      <c r="N94" s="26"/>
      <c r="O94" s="142"/>
      <c r="P94" s="37"/>
      <c r="Q94" s="37"/>
      <c r="R94" s="37"/>
      <c r="S94" s="37"/>
      <c r="T94" s="37"/>
      <c r="U94" s="37"/>
      <c r="V94" s="37"/>
      <c r="W94" s="37"/>
      <c r="X94" s="37"/>
      <c r="Y94" s="37"/>
    </row>
    <row r="95" spans="1:25" s="1865" customFormat="1" ht="15.75">
      <c r="B95" s="306"/>
      <c r="C95" s="381"/>
      <c r="D95" s="381"/>
      <c r="E95" s="1899"/>
      <c r="F95" s="2443"/>
      <c r="G95" s="548">
        <v>2</v>
      </c>
      <c r="H95" s="2417" t="s">
        <v>1068</v>
      </c>
      <c r="I95" s="2437"/>
      <c r="J95" s="2437"/>
      <c r="K95" s="2437"/>
      <c r="L95" s="2437"/>
      <c r="M95" s="2438"/>
      <c r="N95" s="26"/>
      <c r="O95" s="142"/>
      <c r="P95" s="37"/>
      <c r="Q95" s="37"/>
      <c r="R95" s="37"/>
      <c r="S95" s="37"/>
      <c r="T95" s="37"/>
      <c r="U95" s="37"/>
      <c r="V95" s="37"/>
      <c r="W95" s="37"/>
      <c r="X95" s="37"/>
      <c r="Y95" s="37"/>
    </row>
    <row r="96" spans="1:25" s="1865" customFormat="1" ht="15.75">
      <c r="B96" s="306"/>
      <c r="C96" s="381"/>
      <c r="D96" s="381"/>
      <c r="E96" s="1899"/>
      <c r="F96" s="2443"/>
      <c r="G96" s="549">
        <v>3</v>
      </c>
      <c r="H96" s="2417" t="s">
        <v>1069</v>
      </c>
      <c r="I96" s="2437"/>
      <c r="J96" s="2437"/>
      <c r="K96" s="2437"/>
      <c r="L96" s="2437"/>
      <c r="M96" s="2438"/>
      <c r="N96" s="26"/>
      <c r="O96" s="142"/>
      <c r="P96" s="37"/>
      <c r="Q96" s="37"/>
      <c r="R96" s="37"/>
      <c r="S96" s="37"/>
      <c r="T96" s="37"/>
      <c r="U96" s="37"/>
      <c r="V96" s="37"/>
      <c r="W96" s="37"/>
      <c r="X96" s="37"/>
      <c r="Y96" s="37"/>
    </row>
    <row r="97" spans="1:25" s="1865" customFormat="1" ht="15.75">
      <c r="B97" s="306"/>
      <c r="C97" s="381"/>
      <c r="D97" s="381"/>
      <c r="E97" s="1899"/>
      <c r="F97" s="2444"/>
      <c r="G97" s="549">
        <v>4</v>
      </c>
      <c r="H97" s="2417" t="s">
        <v>1070</v>
      </c>
      <c r="I97" s="2437"/>
      <c r="J97" s="2437"/>
      <c r="K97" s="2437"/>
      <c r="L97" s="2437"/>
      <c r="M97" s="2438"/>
      <c r="N97" s="26"/>
      <c r="O97" s="142"/>
      <c r="P97" s="37"/>
      <c r="Q97" s="37"/>
      <c r="R97" s="37"/>
      <c r="S97" s="37"/>
      <c r="T97" s="37"/>
      <c r="U97" s="37"/>
      <c r="V97" s="37"/>
      <c r="W97" s="37"/>
      <c r="X97" s="37"/>
      <c r="Y97" s="37"/>
    </row>
    <row r="98" spans="1:25" s="1865" customFormat="1" ht="15.75">
      <c r="B98" s="306"/>
      <c r="C98" s="381"/>
      <c r="D98" s="381"/>
      <c r="E98" s="1899"/>
      <c r="F98" s="2444"/>
      <c r="G98" s="549">
        <v>5</v>
      </c>
      <c r="H98" s="2417" t="s">
        <v>1071</v>
      </c>
      <c r="I98" s="2437"/>
      <c r="J98" s="2437"/>
      <c r="K98" s="2437"/>
      <c r="L98" s="2437"/>
      <c r="M98" s="2438"/>
      <c r="N98" s="26"/>
      <c r="O98" s="142"/>
      <c r="P98" s="37"/>
      <c r="Q98" s="37"/>
      <c r="R98" s="37"/>
      <c r="S98" s="37"/>
      <c r="T98" s="37"/>
      <c r="U98" s="37"/>
      <c r="V98" s="37"/>
      <c r="W98" s="37"/>
      <c r="X98" s="37"/>
      <c r="Y98" s="37"/>
    </row>
    <row r="99" spans="1:25" s="1865" customFormat="1" ht="15.75">
      <c r="B99" s="306"/>
      <c r="C99" s="381"/>
      <c r="D99" s="381"/>
      <c r="E99" s="1899"/>
      <c r="F99" s="2445"/>
      <c r="G99" s="549">
        <v>6</v>
      </c>
      <c r="H99" s="2417" t="s">
        <v>1072</v>
      </c>
      <c r="I99" s="2437"/>
      <c r="J99" s="2437"/>
      <c r="K99" s="2437"/>
      <c r="L99" s="2437"/>
      <c r="M99" s="2438"/>
      <c r="N99" s="26"/>
      <c r="O99" s="142"/>
      <c r="P99" s="37"/>
      <c r="Q99" s="37"/>
      <c r="R99" s="37"/>
      <c r="S99" s="37"/>
      <c r="T99" s="37"/>
      <c r="U99" s="37"/>
      <c r="V99" s="37"/>
      <c r="W99" s="37"/>
      <c r="X99" s="37"/>
      <c r="Y99" s="37"/>
    </row>
    <row r="100" spans="1:25" s="1865" customFormat="1" ht="15.75">
      <c r="B100" s="306"/>
      <c r="C100" s="381"/>
      <c r="D100" s="381"/>
      <c r="E100" s="1899"/>
      <c r="F100" s="2446" t="s">
        <v>1073</v>
      </c>
      <c r="G100" s="549">
        <v>7</v>
      </c>
      <c r="H100" s="2447" t="s">
        <v>1074</v>
      </c>
      <c r="I100" s="2448"/>
      <c r="J100" s="2448"/>
      <c r="K100" s="2448"/>
      <c r="L100" s="2448"/>
      <c r="M100" s="2449"/>
      <c r="N100" s="26"/>
      <c r="O100" s="142"/>
      <c r="P100" s="37"/>
      <c r="Q100" s="37"/>
      <c r="R100" s="37"/>
      <c r="S100" s="37"/>
      <c r="T100" s="37"/>
      <c r="U100" s="37"/>
      <c r="V100" s="37"/>
      <c r="W100" s="37"/>
      <c r="X100" s="37"/>
      <c r="Y100" s="37"/>
    </row>
    <row r="101" spans="1:25" s="1865" customFormat="1" ht="16.5" thickBot="1">
      <c r="B101" s="306"/>
      <c r="C101" s="381"/>
      <c r="D101" s="381"/>
      <c r="E101" s="1900"/>
      <c r="F101" s="2423"/>
      <c r="G101" s="576">
        <v>8</v>
      </c>
      <c r="H101" s="2450" t="s">
        <v>1075</v>
      </c>
      <c r="I101" s="2451"/>
      <c r="J101" s="2451"/>
      <c r="K101" s="2451"/>
      <c r="L101" s="2451"/>
      <c r="M101" s="2452"/>
      <c r="N101" s="26"/>
      <c r="O101" s="142"/>
      <c r="P101" s="37"/>
      <c r="Q101" s="37"/>
      <c r="R101" s="37"/>
      <c r="S101" s="37"/>
      <c r="T101" s="37"/>
      <c r="U101" s="37"/>
      <c r="V101" s="37"/>
      <c r="W101" s="37"/>
      <c r="X101" s="37"/>
      <c r="Y101" s="37"/>
    </row>
    <row r="102" spans="1:25" s="45" customFormat="1" ht="16.5" customHeight="1">
      <c r="B102" s="1052"/>
      <c r="C102" s="1053"/>
      <c r="D102" s="1053"/>
      <c r="E102" s="596" t="s">
        <v>751</v>
      </c>
      <c r="F102" s="1020">
        <f>COUNTIF(E94:E101,"○")</f>
        <v>0</v>
      </c>
      <c r="G102" s="1054"/>
      <c r="H102" s="1054"/>
      <c r="I102" s="139"/>
      <c r="J102" s="139"/>
      <c r="K102" s="139"/>
      <c r="L102" s="1055"/>
      <c r="M102" s="1056"/>
      <c r="N102" s="26"/>
      <c r="O102" s="142"/>
      <c r="P102" s="37"/>
      <c r="Q102" s="37"/>
      <c r="R102" s="37"/>
      <c r="S102" s="37"/>
      <c r="T102" s="37"/>
      <c r="U102" s="37"/>
      <c r="V102" s="37"/>
      <c r="W102" s="37"/>
      <c r="X102" s="37"/>
      <c r="Y102" s="37"/>
    </row>
    <row r="103" spans="1:25" s="144" customFormat="1" ht="8.25" customHeight="1">
      <c r="A103" s="51"/>
      <c r="B103" s="164"/>
      <c r="C103" s="607"/>
      <c r="D103" s="1896"/>
      <c r="E103" s="1896"/>
      <c r="F103" s="26"/>
      <c r="G103" s="26"/>
      <c r="H103" s="26"/>
      <c r="I103" s="26"/>
      <c r="J103" s="26"/>
      <c r="K103" s="26"/>
      <c r="L103" s="26"/>
      <c r="M103" s="26"/>
      <c r="N103" s="150"/>
      <c r="P103" s="1897" t="s">
        <v>1063</v>
      </c>
      <c r="Q103" s="1862" t="s">
        <v>82</v>
      </c>
      <c r="R103" s="37"/>
      <c r="S103" s="37"/>
    </row>
    <row r="104" spans="1:25" s="144" customFormat="1" ht="21" customHeight="1">
      <c r="A104" s="51"/>
      <c r="B104" s="164"/>
      <c r="C104" s="607"/>
      <c r="E104" s="781" t="s">
        <v>3</v>
      </c>
      <c r="F104" s="782"/>
      <c r="G104" s="1201"/>
      <c r="H104" s="1201"/>
      <c r="I104" s="2388"/>
      <c r="J104" s="2389"/>
      <c r="K104" s="2389"/>
      <c r="L104" s="2389"/>
      <c r="M104" s="2390"/>
      <c r="N104" s="150"/>
      <c r="P104" s="615"/>
      <c r="Q104" s="324"/>
      <c r="R104" s="4"/>
      <c r="S104" s="4"/>
      <c r="T104" s="132"/>
      <c r="U104" s="615"/>
      <c r="V104" s="132"/>
      <c r="W104" s="132"/>
      <c r="X104" s="132"/>
      <c r="Y104" s="132"/>
    </row>
    <row r="105" spans="1:25"/>
    <row r="106" spans="1:25"/>
  </sheetData>
  <sheetProtection password="CC47" sheet="1" objects="1" scenarios="1"/>
  <mergeCells count="59">
    <mergeCell ref="E9:M9"/>
    <mergeCell ref="E12:M12"/>
    <mergeCell ref="E13:M13"/>
    <mergeCell ref="H21:I21"/>
    <mergeCell ref="J21:K21"/>
    <mergeCell ref="L21:M21"/>
    <mergeCell ref="E10:M10"/>
    <mergeCell ref="E14:M14"/>
    <mergeCell ref="G16:M16"/>
    <mergeCell ref="G17:M17"/>
    <mergeCell ref="F20:G20"/>
    <mergeCell ref="H20:I20"/>
    <mergeCell ref="J20:K20"/>
    <mergeCell ref="L20:M20"/>
    <mergeCell ref="I104:M104"/>
    <mergeCell ref="I82:M82"/>
    <mergeCell ref="I43:M43"/>
    <mergeCell ref="H96:M96"/>
    <mergeCell ref="H95:M95"/>
    <mergeCell ref="E86:M86"/>
    <mergeCell ref="H73:M73"/>
    <mergeCell ref="F74:F76"/>
    <mergeCell ref="F77:F78"/>
    <mergeCell ref="F94:F99"/>
    <mergeCell ref="H97:M97"/>
    <mergeCell ref="H98:M98"/>
    <mergeCell ref="H99:M99"/>
    <mergeCell ref="F100:F101"/>
    <mergeCell ref="H100:M100"/>
    <mergeCell ref="H101:M101"/>
    <mergeCell ref="L1:M1"/>
    <mergeCell ref="E36:M36"/>
    <mergeCell ref="H26:I26"/>
    <mergeCell ref="J26:K26"/>
    <mergeCell ref="L26:M26"/>
    <mergeCell ref="H27:I27"/>
    <mergeCell ref="J27:K27"/>
    <mergeCell ref="H22:I22"/>
    <mergeCell ref="J22:K22"/>
    <mergeCell ref="L22:M22"/>
    <mergeCell ref="L27:M27"/>
    <mergeCell ref="H24:I24"/>
    <mergeCell ref="J24:K24"/>
    <mergeCell ref="L24:M24"/>
    <mergeCell ref="H23:I23"/>
    <mergeCell ref="H25:I25"/>
    <mergeCell ref="E66:M66"/>
    <mergeCell ref="H28:I28"/>
    <mergeCell ref="J28:K28"/>
    <mergeCell ref="L28:M28"/>
    <mergeCell ref="H29:I29"/>
    <mergeCell ref="J29:K29"/>
    <mergeCell ref="L29:M29"/>
    <mergeCell ref="J25:K25"/>
    <mergeCell ref="L25:M25"/>
    <mergeCell ref="J23:K23"/>
    <mergeCell ref="L23:M23"/>
    <mergeCell ref="I62:M62"/>
    <mergeCell ref="E47:M47"/>
  </mergeCells>
  <phoneticPr fontId="4"/>
  <conditionalFormatting sqref="D36">
    <cfRule type="expression" dxfId="98" priority="4" stopIfTrue="1">
      <formula>AND(OR(D36&lt;1,D36&gt;5),D36&lt;&gt;P42)</formula>
    </cfRule>
    <cfRule type="expression" dxfId="97" priority="5" stopIfTrue="1">
      <formula>M35&gt;0</formula>
    </cfRule>
  </conditionalFormatting>
  <conditionalFormatting sqref="I43">
    <cfRule type="expression" dxfId="96" priority="7" stopIfTrue="1">
      <formula>M35&gt;0</formula>
    </cfRule>
  </conditionalFormatting>
  <conditionalFormatting sqref="E55:E59 I62">
    <cfRule type="expression" dxfId="95" priority="12" stopIfTrue="1">
      <formula>$M$46&gt;0</formula>
    </cfRule>
  </conditionalFormatting>
  <conditionalFormatting sqref="E74:E78 I82">
    <cfRule type="expression" dxfId="94" priority="13" stopIfTrue="1">
      <formula>$M$65&gt;0</formula>
    </cfRule>
  </conditionalFormatting>
  <conditionalFormatting sqref="I104">
    <cfRule type="expression" dxfId="93" priority="15" stopIfTrue="1">
      <formula>$M$85&gt;0</formula>
    </cfRule>
  </conditionalFormatting>
  <conditionalFormatting sqref="D9">
    <cfRule type="expression" dxfId="92" priority="3" stopIfTrue="1">
      <formula>M8&gt;0</formula>
    </cfRule>
  </conditionalFormatting>
  <conditionalFormatting sqref="E94:E101">
    <cfRule type="expression" dxfId="91" priority="2" stopIfTrue="1">
      <formula>$M$85&gt;0</formula>
    </cfRule>
  </conditionalFormatting>
  <conditionalFormatting sqref="E79">
    <cfRule type="expression" dxfId="90" priority="1" stopIfTrue="1">
      <formula>$M$65&gt;0</formula>
    </cfRule>
  </conditionalFormatting>
  <dataValidations count="6">
    <dataValidation type="list" allowBlank="1" showInputMessage="1" showErrorMessage="1" sqref="E55:E59 WVM94:WVM101 E94:E101 JA94:JA101 SW94:SW101 ACS94:ACS101 AMO94:AMO101 AWK94:AWK101 BGG94:BGG101 BQC94:BQC101 BZY94:BZY101 CJU94:CJU101 CTQ94:CTQ101 DDM94:DDM101 DNI94:DNI101 DXE94:DXE101 EHA94:EHA101 EQW94:EQW101 FAS94:FAS101 FKO94:FKO101 FUK94:FUK101 GEG94:GEG101 GOC94:GOC101 GXY94:GXY101 HHU94:HHU101 HRQ94:HRQ101 IBM94:IBM101 ILI94:ILI101 IVE94:IVE101 JFA94:JFA101 JOW94:JOW101 JYS94:JYS101 KIO94:KIO101 KSK94:KSK101 LCG94:LCG101 LMC94:LMC101 LVY94:LVY101 MFU94:MFU101 MPQ94:MPQ101 MZM94:MZM101 NJI94:NJI101 NTE94:NTE101 ODA94:ODA101 OMW94:OMW101 OWS94:OWS101 PGO94:PGO101 PQK94:PQK101 QAG94:QAG101 QKC94:QKC101 QTY94:QTY101 RDU94:RDU101 RNQ94:RNQ101 RXM94:RXM101 SHI94:SHI101 SRE94:SRE101 TBA94:TBA101 TKW94:TKW101 TUS94:TUS101 UEO94:UEO101 UOK94:UOK101 UYG94:UYG101 VIC94:VIC101 VRY94:VRY101 WBU94:WBU101 WLQ94:WLQ101 E74:E78">
      <formula1>$U$3:$U$4</formula1>
    </dataValidation>
    <dataValidation type="list" allowBlank="1" showInputMessage="1" showErrorMessage="1" sqref="D36">
      <formula1>$P$37:$P$42</formula1>
    </dataValidation>
    <dataValidation type="textLength" operator="lessThanOrEqual" allowBlank="1" showInputMessage="1" showErrorMessage="1" sqref="F82:H82 F43:H43 F104:H104 F62:H62">
      <formula1>30</formula1>
    </dataValidation>
    <dataValidation type="textLength" operator="lessThanOrEqual" allowBlank="1" showInputMessage="1" showErrorMessage="1" sqref="I104 I43 I62 I82">
      <formula1>35</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$P$10:$P$15</formula1>
    </dataValidation>
    <dataValidation type="whole" operator="greaterThanOrEqual" allowBlank="1" showInputMessage="1" showErrorMessage="1" sqref="E79">
      <formula1>0</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2" manualBreakCount="2">
    <brk id="32" max="14" man="1"/>
    <brk id="63" max="14" man="1"/>
  </rowBreaks>
  <legacyDrawing r:id="rId2"/>
</worksheet>
</file>

<file path=xl/worksheets/sheet9.xml><?xml version="1.0" encoding="utf-8"?>
<worksheet xmlns="http://schemas.openxmlformats.org/spreadsheetml/2006/main" xmlns:r="http://schemas.openxmlformats.org/officeDocument/2006/relationships">
  <sheetPr codeName="Sheet10">
    <pageSetUpPr autoPageBreaks="0" fitToPage="1"/>
  </sheetPr>
  <dimension ref="A1:Y377"/>
  <sheetViews>
    <sheetView showGridLines="0" zoomScaleNormal="100" zoomScaleSheetLayoutView="75" workbookViewId="0">
      <selection activeCell="F5" sqref="F5"/>
    </sheetView>
  </sheetViews>
  <sheetFormatPr defaultColWidth="0" defaultRowHeight="14.25" customHeight="1" zeroHeight="1"/>
  <cols>
    <col min="1" max="1" width="1.375" style="4" customWidth="1"/>
    <col min="2" max="2" width="4.625" style="599" customWidth="1"/>
    <col min="3" max="3" width="1.5" style="300" customWidth="1"/>
    <col min="4" max="13" width="11.625" style="300" customWidth="1"/>
    <col min="14" max="14" width="2.125" style="300" customWidth="1"/>
    <col min="15" max="25" width="0" style="4" hidden="1" customWidth="1"/>
    <col min="26" max="16384" width="3.875" style="4" hidden="1"/>
  </cols>
  <sheetData>
    <row r="1" spans="1:25" s="144" customFormat="1" ht="22.5" customHeight="1">
      <c r="A1" s="51"/>
      <c r="B1" s="164"/>
      <c r="C1" s="150"/>
      <c r="D1" s="155"/>
      <c r="E1" s="51"/>
      <c r="F1" s="51"/>
      <c r="G1" s="51"/>
      <c r="H1" s="51"/>
      <c r="I1" s="51"/>
      <c r="J1" s="51"/>
      <c r="K1" s="1047" t="s">
        <v>342</v>
      </c>
      <c r="L1" s="2387">
        <f>メイン!C10</f>
        <v>0</v>
      </c>
      <c r="M1" s="2387"/>
      <c r="N1" s="150"/>
      <c r="O1" s="142"/>
      <c r="P1" s="142"/>
      <c r="Q1" s="142"/>
    </row>
    <row r="2" spans="1:25" s="144" customFormat="1" ht="9" customHeight="1" thickBot="1">
      <c r="A2" s="51"/>
      <c r="B2" s="164"/>
      <c r="C2" s="150"/>
      <c r="D2" s="155"/>
      <c r="E2" s="51"/>
      <c r="F2" s="51"/>
      <c r="G2" s="51"/>
      <c r="H2" s="51"/>
      <c r="I2" s="51"/>
      <c r="J2" s="51"/>
      <c r="K2" s="1046"/>
      <c r="L2" s="360"/>
      <c r="M2" s="47"/>
      <c r="N2" s="150"/>
      <c r="O2" s="142"/>
      <c r="P2" s="142"/>
      <c r="Q2" s="142"/>
    </row>
    <row r="3" spans="1:25" s="494" customFormat="1" ht="21.75" thickBot="1">
      <c r="A3" s="493"/>
      <c r="B3" s="308" t="s">
        <v>969</v>
      </c>
      <c r="C3" s="26"/>
      <c r="D3" s="26"/>
      <c r="E3" s="51"/>
      <c r="F3" s="51"/>
      <c r="G3" s="51"/>
      <c r="H3" s="146"/>
      <c r="I3" s="52" t="s">
        <v>1104</v>
      </c>
      <c r="J3" s="51"/>
      <c r="K3" s="51"/>
      <c r="L3" s="51"/>
      <c r="M3" s="51"/>
      <c r="N3" s="51"/>
      <c r="O3" s="144"/>
      <c r="P3" s="315" t="s">
        <v>83</v>
      </c>
      <c r="Q3" s="731" t="str">
        <f>IF(メイン!E31=0,"",メイン!E31)</f>
        <v/>
      </c>
      <c r="R3" s="37"/>
      <c r="S3" s="37"/>
      <c r="T3" s="318"/>
      <c r="U3" s="320" t="s">
        <v>405</v>
      </c>
      <c r="V3" s="132"/>
      <c r="X3" s="132"/>
      <c r="Y3" s="318" t="str">
        <f>メイン!N31</f>
        <v>基本設計段階</v>
      </c>
    </row>
    <row r="4" spans="1:25" s="494" customFormat="1" ht="3.75" customHeight="1">
      <c r="A4" s="493"/>
      <c r="B4" s="308"/>
      <c r="C4" s="26"/>
      <c r="D4" s="26"/>
      <c r="E4" s="51"/>
      <c r="F4" s="51"/>
      <c r="G4" s="51"/>
      <c r="H4" s="51"/>
      <c r="I4" s="51"/>
      <c r="J4" s="51"/>
      <c r="K4" s="51"/>
      <c r="L4" s="51"/>
      <c r="M4" s="51"/>
      <c r="N4" s="51"/>
      <c r="O4" s="144"/>
      <c r="P4" s="315"/>
      <c r="Q4" s="731"/>
      <c r="R4" s="37"/>
      <c r="S4" s="37"/>
      <c r="T4" s="318"/>
      <c r="U4" s="320"/>
      <c r="V4" s="132"/>
      <c r="X4" s="132"/>
      <c r="Y4" s="318"/>
    </row>
    <row r="5" spans="1:25" s="494" customFormat="1" ht="18" customHeight="1">
      <c r="A5" s="493"/>
      <c r="B5" s="164">
        <v>1</v>
      </c>
      <c r="C5" s="147" t="s">
        <v>972</v>
      </c>
      <c r="D5" s="147"/>
      <c r="E5" s="147"/>
      <c r="F5" s="51"/>
      <c r="G5" s="51"/>
      <c r="H5" s="51"/>
      <c r="I5" s="51"/>
      <c r="J5" s="51"/>
      <c r="K5" s="28"/>
      <c r="L5" s="51"/>
      <c r="M5" s="51"/>
      <c r="N5" s="51"/>
      <c r="O5" s="144"/>
      <c r="P5" s="37"/>
      <c r="Q5" s="37"/>
      <c r="R5" s="37"/>
      <c r="S5" s="37"/>
      <c r="T5" s="318" t="s">
        <v>406</v>
      </c>
      <c r="U5" s="318"/>
      <c r="V5" s="132"/>
      <c r="X5" s="132"/>
      <c r="Y5" s="318" t="str">
        <f>メイン!N32</f>
        <v>実施設計段階</v>
      </c>
    </row>
    <row r="6" spans="1:25" s="327" customFormat="1" ht="13.5" customHeight="1">
      <c r="A6" s="22"/>
      <c r="B6" s="1061">
        <v>1.1000000000000001</v>
      </c>
      <c r="C6" s="147" t="s">
        <v>562</v>
      </c>
      <c r="D6" s="1615"/>
      <c r="E6" s="147"/>
      <c r="F6" s="150"/>
      <c r="G6" s="150"/>
      <c r="H6" s="150"/>
      <c r="I6" s="150"/>
      <c r="J6" s="150"/>
      <c r="K6" s="150"/>
      <c r="L6" s="150"/>
      <c r="M6" s="150"/>
      <c r="N6" s="302"/>
      <c r="O6" s="175"/>
      <c r="P6" s="175"/>
      <c r="Q6" s="175"/>
      <c r="R6" s="301"/>
      <c r="S6" s="301"/>
      <c r="T6" s="301"/>
      <c r="U6" s="301"/>
      <c r="V6" s="301"/>
      <c r="W6" s="301"/>
      <c r="X6" s="301"/>
      <c r="Y6" s="476"/>
    </row>
    <row r="7" spans="1:25" s="327" customFormat="1" ht="16.5" customHeight="1" thickBot="1">
      <c r="A7" s="150"/>
      <c r="B7" s="150"/>
      <c r="C7" s="150"/>
      <c r="D7" s="150"/>
      <c r="E7" s="302"/>
      <c r="F7" s="302"/>
      <c r="G7" s="302"/>
      <c r="H7" s="302"/>
      <c r="I7" s="150"/>
      <c r="J7" s="414"/>
      <c r="K7" s="150"/>
      <c r="L7" s="176" t="s">
        <v>2</v>
      </c>
      <c r="M7" s="173">
        <f>重み!M54</f>
        <v>0.9</v>
      </c>
      <c r="N7" s="302"/>
      <c r="O7" s="324">
        <f t="shared" ref="O7:Y7" si="0">C7</f>
        <v>0</v>
      </c>
      <c r="P7" s="324">
        <f t="shared" si="0"/>
        <v>0</v>
      </c>
      <c r="Q7" s="324">
        <f t="shared" si="0"/>
        <v>0</v>
      </c>
      <c r="R7" s="324">
        <f t="shared" si="0"/>
        <v>0</v>
      </c>
      <c r="S7" s="324">
        <f t="shared" si="0"/>
        <v>0</v>
      </c>
      <c r="T7" s="324">
        <f t="shared" si="0"/>
        <v>0</v>
      </c>
      <c r="U7" s="324">
        <f t="shared" si="0"/>
        <v>0</v>
      </c>
      <c r="V7" s="324">
        <f t="shared" si="0"/>
        <v>0</v>
      </c>
      <c r="W7" s="324">
        <f t="shared" si="0"/>
        <v>0</v>
      </c>
      <c r="X7" s="324" t="str">
        <f t="shared" si="0"/>
        <v>重み係数＝</v>
      </c>
      <c r="Y7" s="324">
        <f t="shared" si="0"/>
        <v>0.9</v>
      </c>
    </row>
    <row r="8" spans="1:25" ht="16.5" customHeight="1" thickBot="1">
      <c r="A8" s="1"/>
      <c r="B8" s="36"/>
      <c r="C8" s="36"/>
      <c r="D8" s="1616">
        <f>IF(J29=T28,IF(M17&gt;5,5,IF(M17&lt;1,1,M17)),R29)</f>
        <v>5</v>
      </c>
      <c r="E8" s="1617" t="s">
        <v>391</v>
      </c>
      <c r="F8" s="1618"/>
      <c r="G8" s="1618"/>
      <c r="H8" s="1618"/>
      <c r="I8" s="1618"/>
      <c r="J8" s="1619" t="s">
        <v>563</v>
      </c>
      <c r="K8" s="1618"/>
      <c r="L8" s="1618"/>
      <c r="M8" s="1620"/>
      <c r="N8" s="302"/>
      <c r="O8" s="324"/>
      <c r="P8" s="324"/>
      <c r="Q8" s="324"/>
      <c r="R8" s="324"/>
      <c r="S8" s="324"/>
      <c r="T8" s="132"/>
      <c r="U8" s="132"/>
      <c r="V8" s="132"/>
      <c r="W8" s="132"/>
      <c r="X8" s="132"/>
      <c r="Y8" s="132"/>
    </row>
    <row r="9" spans="1:25" ht="16.5" customHeight="1">
      <c r="A9" s="1"/>
      <c r="B9" s="36"/>
      <c r="C9" s="36"/>
      <c r="D9" s="2473" t="s">
        <v>251</v>
      </c>
      <c r="E9" s="2476" t="s">
        <v>1157</v>
      </c>
      <c r="F9" s="2477"/>
      <c r="G9" s="2477"/>
      <c r="H9" s="2477"/>
      <c r="I9" s="2478"/>
      <c r="J9" s="2485" t="s">
        <v>1158</v>
      </c>
      <c r="K9" s="2486"/>
      <c r="L9" s="2486"/>
      <c r="M9" s="2487"/>
      <c r="N9" s="302"/>
      <c r="O9" s="324"/>
      <c r="P9" s="584">
        <f>$Q$9</f>
        <v>1</v>
      </c>
      <c r="Q9" s="316">
        <v>1</v>
      </c>
      <c r="R9" s="319" t="s">
        <v>459</v>
      </c>
      <c r="S9" s="317" t="s">
        <v>77</v>
      </c>
      <c r="T9" s="132"/>
      <c r="U9" s="584">
        <f>$Q$9</f>
        <v>1</v>
      </c>
      <c r="V9" s="132"/>
      <c r="W9" s="132"/>
      <c r="X9" s="132"/>
      <c r="Y9" s="132"/>
    </row>
    <row r="10" spans="1:25" ht="16.5" customHeight="1">
      <c r="A10" s="1"/>
      <c r="B10" s="36"/>
      <c r="C10" s="36"/>
      <c r="D10" s="2474"/>
      <c r="E10" s="2479"/>
      <c r="F10" s="2480"/>
      <c r="G10" s="2480"/>
      <c r="H10" s="2480"/>
      <c r="I10" s="2481"/>
      <c r="J10" s="2488"/>
      <c r="K10" s="2489"/>
      <c r="L10" s="2489"/>
      <c r="M10" s="2490"/>
      <c r="N10" s="302"/>
      <c r="O10" s="324"/>
      <c r="P10" s="584">
        <f>$Q$10</f>
        <v>2</v>
      </c>
      <c r="Q10" s="316">
        <v>2</v>
      </c>
      <c r="R10" s="319" t="s">
        <v>460</v>
      </c>
      <c r="S10" s="317" t="s">
        <v>78</v>
      </c>
      <c r="T10" s="132"/>
      <c r="U10" s="584">
        <f>$Q$10</f>
        <v>2</v>
      </c>
      <c r="V10" s="132"/>
      <c r="W10" s="132"/>
      <c r="X10" s="132"/>
      <c r="Y10" s="132"/>
    </row>
    <row r="11" spans="1:25" ht="16.5" customHeight="1">
      <c r="A11" s="1"/>
      <c r="B11" s="36"/>
      <c r="C11" s="36"/>
      <c r="D11" s="2474"/>
      <c r="E11" s="2479"/>
      <c r="F11" s="2480"/>
      <c r="G11" s="2480"/>
      <c r="H11" s="2480"/>
      <c r="I11" s="2481"/>
      <c r="J11" s="2488"/>
      <c r="K11" s="2489"/>
      <c r="L11" s="2489"/>
      <c r="M11" s="2490"/>
      <c r="N11" s="302"/>
      <c r="O11" s="324"/>
      <c r="P11" s="584">
        <f>$Q$11</f>
        <v>3</v>
      </c>
      <c r="Q11" s="316">
        <v>3</v>
      </c>
      <c r="R11" s="319" t="s">
        <v>461</v>
      </c>
      <c r="S11" s="317" t="s">
        <v>79</v>
      </c>
      <c r="T11" s="132"/>
      <c r="U11" s="584">
        <f>$Q$11</f>
        <v>3</v>
      </c>
      <c r="V11" s="132"/>
      <c r="W11" s="132"/>
      <c r="X11" s="132"/>
      <c r="Y11" s="132"/>
    </row>
    <row r="12" spans="1:25" ht="16.5" customHeight="1">
      <c r="A12" s="1"/>
      <c r="B12" s="36"/>
      <c r="C12" s="36"/>
      <c r="D12" s="2474"/>
      <c r="E12" s="2479"/>
      <c r="F12" s="2480"/>
      <c r="G12" s="2480"/>
      <c r="H12" s="2480"/>
      <c r="I12" s="2481"/>
      <c r="J12" s="2488"/>
      <c r="K12" s="2489"/>
      <c r="L12" s="2489"/>
      <c r="M12" s="2490"/>
      <c r="N12" s="302"/>
      <c r="O12" s="324"/>
      <c r="P12" s="584">
        <f>$Q$12</f>
        <v>4</v>
      </c>
      <c r="Q12" s="316">
        <v>4</v>
      </c>
      <c r="R12" s="319" t="s">
        <v>462</v>
      </c>
      <c r="S12" s="317" t="s">
        <v>80</v>
      </c>
      <c r="T12" s="132"/>
      <c r="U12" s="584">
        <f>$Q$12</f>
        <v>4</v>
      </c>
      <c r="V12" s="132"/>
      <c r="W12" s="132"/>
      <c r="X12" s="132"/>
      <c r="Y12" s="132"/>
    </row>
    <row r="13" spans="1:25" ht="16.5" customHeight="1">
      <c r="A13" s="1"/>
      <c r="B13" s="36"/>
      <c r="C13" s="36"/>
      <c r="D13" s="2475"/>
      <c r="E13" s="2482"/>
      <c r="F13" s="2483"/>
      <c r="G13" s="2483"/>
      <c r="H13" s="2483"/>
      <c r="I13" s="2484"/>
      <c r="J13" s="2491"/>
      <c r="K13" s="2492"/>
      <c r="L13" s="2492"/>
      <c r="M13" s="2493"/>
      <c r="N13" s="133"/>
      <c r="O13" s="324"/>
      <c r="P13" s="584">
        <f>$Q$13</f>
        <v>5</v>
      </c>
      <c r="Q13" s="316">
        <v>5</v>
      </c>
      <c r="R13" s="319" t="s">
        <v>463</v>
      </c>
      <c r="S13" s="317" t="s">
        <v>81</v>
      </c>
      <c r="T13" s="132"/>
      <c r="U13" s="584">
        <f>$Q$13</f>
        <v>5</v>
      </c>
      <c r="V13" s="132"/>
      <c r="W13" s="132"/>
      <c r="X13" s="132"/>
      <c r="Y13" s="132"/>
    </row>
    <row r="14" spans="1:25" s="144" customFormat="1" ht="20.25" customHeight="1">
      <c r="A14" s="51"/>
      <c r="B14" s="562"/>
      <c r="C14" s="131"/>
      <c r="D14" s="309"/>
      <c r="E14" s="1767" t="s">
        <v>938</v>
      </c>
      <c r="F14" s="45"/>
      <c r="G14" s="45"/>
      <c r="H14" s="300"/>
      <c r="I14" s="1008"/>
      <c r="J14" s="300"/>
      <c r="K14" s="300"/>
      <c r="L14" s="300"/>
      <c r="M14" s="300"/>
      <c r="N14" s="150"/>
      <c r="P14" s="584" t="s">
        <v>60</v>
      </c>
      <c r="Q14" s="324" t="s">
        <v>82</v>
      </c>
      <c r="R14" s="4"/>
      <c r="S14" s="4"/>
      <c r="T14" s="132"/>
    </row>
    <row r="15" spans="1:25" s="144" customFormat="1" ht="21" hidden="1" customHeight="1" thickBot="1">
      <c r="A15" s="51"/>
      <c r="B15" s="1682"/>
      <c r="C15" s="1683"/>
      <c r="D15" s="309"/>
      <c r="E15" s="1621" t="s">
        <v>568</v>
      </c>
      <c r="F15" s="546"/>
      <c r="G15" s="546"/>
      <c r="H15" s="1680" t="s">
        <v>564</v>
      </c>
      <c r="I15" s="532"/>
      <c r="J15" s="300"/>
      <c r="K15" s="300"/>
      <c r="L15" s="300"/>
      <c r="M15" s="300"/>
      <c r="N15" s="150"/>
      <c r="P15" s="1679" t="s">
        <v>564</v>
      </c>
      <c r="Q15" s="1116" t="s">
        <v>92</v>
      </c>
      <c r="R15" s="4"/>
      <c r="S15" s="4"/>
      <c r="T15" s="132"/>
      <c r="U15" s="615"/>
      <c r="V15" s="132"/>
      <c r="W15" s="132"/>
      <c r="X15" s="132"/>
      <c r="Y15" s="132"/>
    </row>
    <row r="16" spans="1:25" ht="14.25" customHeight="1" thickBot="1">
      <c r="A16" s="1"/>
      <c r="B16" s="562"/>
      <c r="C16" s="131"/>
      <c r="D16" s="309"/>
      <c r="E16" s="1621" t="s">
        <v>568</v>
      </c>
      <c r="F16" s="546"/>
      <c r="G16" s="546"/>
      <c r="H16" s="1693" t="s">
        <v>565</v>
      </c>
      <c r="I16" s="1622" t="s">
        <v>566</v>
      </c>
      <c r="J16" s="1038" t="s">
        <v>227</v>
      </c>
      <c r="M16" s="1009" t="s">
        <v>567</v>
      </c>
      <c r="N16" s="133"/>
      <c r="O16" s="324"/>
      <c r="P16" s="615"/>
      <c r="Q16" s="324"/>
      <c r="T16" s="132"/>
      <c r="U16" s="615"/>
      <c r="V16" s="132"/>
      <c r="W16" s="132"/>
      <c r="X16" s="132"/>
      <c r="Y16" s="132"/>
    </row>
    <row r="17" spans="1:25" s="327" customFormat="1" ht="14.25" customHeight="1" thickBot="1">
      <c r="A17" s="22"/>
      <c r="B17" s="562"/>
      <c r="C17" s="131"/>
      <c r="D17" s="309"/>
      <c r="E17" s="1690" t="s">
        <v>943</v>
      </c>
      <c r="F17" s="1691"/>
      <c r="G17" s="1691"/>
      <c r="H17" s="1694">
        <v>81336</v>
      </c>
      <c r="I17" s="1695">
        <f>H17-H18</f>
        <v>60125</v>
      </c>
      <c r="J17" s="1623">
        <v>1</v>
      </c>
      <c r="K17" s="1624"/>
      <c r="L17" s="1005" t="s">
        <v>761</v>
      </c>
      <c r="M17" s="1114">
        <f>ROUNDDOWN((-0.1*J19*100)+14,1)</f>
        <v>7.2</v>
      </c>
      <c r="N17" s="302"/>
      <c r="O17" s="132"/>
      <c r="Q17" s="4"/>
      <c r="R17" s="4"/>
      <c r="S17" s="4"/>
      <c r="T17" s="132"/>
      <c r="V17" s="132"/>
      <c r="W17" s="132"/>
      <c r="X17" s="132"/>
      <c r="Y17" s="132"/>
    </row>
    <row r="18" spans="1:25" s="327" customFormat="1" ht="14.25" customHeight="1">
      <c r="A18" s="22"/>
      <c r="B18" s="562"/>
      <c r="C18" s="131"/>
      <c r="D18" s="309"/>
      <c r="E18" s="1690" t="s">
        <v>944</v>
      </c>
      <c r="F18" s="1691"/>
      <c r="G18" s="1691"/>
      <c r="H18" s="1696">
        <v>21211</v>
      </c>
      <c r="I18" s="1697"/>
      <c r="J18" s="1698"/>
      <c r="K18" s="1624"/>
      <c r="L18" s="1005"/>
      <c r="M18" s="1005"/>
      <c r="N18" s="1005"/>
      <c r="O18" s="132"/>
      <c r="Q18" s="4"/>
      <c r="R18" s="4"/>
      <c r="S18" s="4"/>
      <c r="T18" s="132"/>
      <c r="V18" s="132"/>
      <c r="W18" s="132"/>
      <c r="X18" s="132"/>
      <c r="Y18" s="132"/>
    </row>
    <row r="19" spans="1:25" ht="15.75">
      <c r="A19" s="1"/>
      <c r="B19" s="562"/>
      <c r="C19" s="131"/>
      <c r="D19" s="309"/>
      <c r="E19" s="1690" t="s">
        <v>945</v>
      </c>
      <c r="F19" s="1691"/>
      <c r="G19" s="1691"/>
      <c r="H19" s="1696">
        <v>62075</v>
      </c>
      <c r="I19" s="1695">
        <f>H19-H18</f>
        <v>40864</v>
      </c>
      <c r="J19" s="1625">
        <f>IF(OR(I17=P66,I17=0),P66,I19/I17)</f>
        <v>0.67965072765072765</v>
      </c>
      <c r="N19" s="133"/>
      <c r="O19" s="324"/>
      <c r="P19" s="324"/>
      <c r="Q19" s="324"/>
      <c r="R19" s="324"/>
      <c r="S19" s="324"/>
      <c r="T19" s="324"/>
      <c r="U19" s="324"/>
      <c r="V19" s="324"/>
      <c r="W19" s="324"/>
      <c r="X19" s="324"/>
      <c r="Y19" s="324"/>
    </row>
    <row r="20" spans="1:25" ht="16.5" customHeight="1">
      <c r="A20" s="1"/>
      <c r="B20" s="562"/>
      <c r="C20" s="131"/>
      <c r="D20" s="309"/>
      <c r="E20" s="2506" t="s">
        <v>942</v>
      </c>
      <c r="F20" s="2498" t="s">
        <v>946</v>
      </c>
      <c r="G20" s="2499"/>
      <c r="H20" s="1696">
        <v>11030</v>
      </c>
      <c r="I20" s="1697"/>
      <c r="J20" s="1698"/>
      <c r="N20" s="133"/>
      <c r="O20" s="324"/>
      <c r="P20" s="324"/>
      <c r="Q20" s="324"/>
      <c r="R20" s="324"/>
      <c r="S20" s="324"/>
      <c r="T20" s="324"/>
      <c r="U20" s="324"/>
      <c r="V20" s="324"/>
      <c r="W20" s="324"/>
      <c r="X20" s="324"/>
      <c r="Y20" s="324"/>
    </row>
    <row r="21" spans="1:25" ht="16.5" customHeight="1">
      <c r="A21" s="1"/>
      <c r="B21" s="562"/>
      <c r="C21" s="131"/>
      <c r="D21" s="309"/>
      <c r="E21" s="2506"/>
      <c r="F21" s="2498" t="s">
        <v>947</v>
      </c>
      <c r="G21" s="2499"/>
      <c r="H21" s="1766">
        <v>16078</v>
      </c>
      <c r="I21" s="1697"/>
      <c r="J21" s="1698"/>
      <c r="N21" s="133"/>
      <c r="O21" s="324"/>
      <c r="P21" s="324"/>
      <c r="Q21" s="324"/>
      <c r="R21" s="324"/>
      <c r="S21" s="324"/>
      <c r="T21" s="324"/>
      <c r="U21" s="324"/>
      <c r="V21" s="324"/>
      <c r="W21" s="324"/>
      <c r="X21" s="324"/>
      <c r="Y21" s="324"/>
    </row>
    <row r="22" spans="1:25" ht="27" customHeight="1">
      <c r="A22" s="1"/>
      <c r="B22" s="562"/>
      <c r="C22" s="131"/>
      <c r="D22" s="309"/>
      <c r="E22" s="2504" t="s">
        <v>964</v>
      </c>
      <c r="F22" s="2498" t="s">
        <v>948</v>
      </c>
      <c r="G22" s="2499"/>
      <c r="H22" s="1766"/>
      <c r="I22" s="1697"/>
      <c r="J22" s="1698"/>
      <c r="N22" s="133"/>
      <c r="O22" s="324"/>
      <c r="P22" s="324"/>
      <c r="Q22" s="324"/>
      <c r="R22" s="324"/>
      <c r="S22" s="324"/>
      <c r="T22" s="324"/>
      <c r="U22" s="324"/>
      <c r="V22" s="324"/>
      <c r="W22" s="324"/>
      <c r="X22" s="324"/>
      <c r="Y22" s="324"/>
    </row>
    <row r="23" spans="1:25" ht="27" customHeight="1" thickBot="1">
      <c r="A23" s="1"/>
      <c r="B23" s="562"/>
      <c r="C23" s="131"/>
      <c r="D23" s="309"/>
      <c r="E23" s="2505"/>
      <c r="F23" s="2500" t="s">
        <v>949</v>
      </c>
      <c r="G23" s="2501"/>
      <c r="H23" s="1699"/>
      <c r="I23" s="1697"/>
      <c r="J23" s="1698"/>
      <c r="N23" s="133"/>
      <c r="O23" s="324"/>
      <c r="P23" s="324"/>
      <c r="Q23" s="324"/>
      <c r="R23" s="324"/>
      <c r="S23" s="324"/>
      <c r="T23" s="324"/>
      <c r="U23" s="324"/>
      <c r="V23" s="324"/>
      <c r="W23" s="324"/>
      <c r="X23" s="324"/>
      <c r="Y23" s="324"/>
    </row>
    <row r="24" spans="1:25" ht="16.5" customHeight="1">
      <c r="A24" s="1"/>
      <c r="B24" s="164"/>
      <c r="C24" s="607"/>
      <c r="D24" s="309"/>
      <c r="E24" s="1692" t="s">
        <v>1159</v>
      </c>
      <c r="F24" s="1"/>
      <c r="G24" s="1"/>
      <c r="H24" s="1"/>
      <c r="I24" s="1"/>
      <c r="J24" s="1"/>
      <c r="K24" s="1"/>
      <c r="L24" s="1"/>
      <c r="M24" s="1"/>
      <c r="N24" s="133"/>
    </row>
    <row r="25" spans="1:25" ht="22.5" customHeight="1">
      <c r="A25" s="1"/>
      <c r="B25" s="164"/>
      <c r="C25" s="607"/>
      <c r="D25" s="309"/>
      <c r="E25" s="2507" t="s">
        <v>1160</v>
      </c>
      <c r="F25" s="2507"/>
      <c r="G25" s="2507"/>
      <c r="H25" s="2507"/>
      <c r="I25" s="2507"/>
      <c r="J25" s="2507"/>
      <c r="K25" s="1"/>
      <c r="L25" s="1"/>
      <c r="M25" s="1"/>
      <c r="N25" s="133"/>
    </row>
    <row r="26" spans="1:25" ht="15.75">
      <c r="A26" s="1"/>
      <c r="B26" s="164"/>
      <c r="C26" s="607"/>
      <c r="D26" s="309"/>
      <c r="E26" s="1772"/>
      <c r="F26" s="1772"/>
      <c r="G26" s="1772"/>
      <c r="H26" s="1772"/>
      <c r="I26" s="1772"/>
      <c r="J26" s="1772"/>
      <c r="K26" s="1"/>
      <c r="L26" s="1"/>
      <c r="M26" s="1"/>
      <c r="N26" s="133"/>
    </row>
    <row r="27" spans="1:25" ht="15.75">
      <c r="A27" s="1"/>
      <c r="B27" s="164"/>
      <c r="C27" s="607"/>
      <c r="D27" s="309"/>
      <c r="E27" s="1767" t="s">
        <v>952</v>
      </c>
      <c r="F27" s="1772"/>
      <c r="G27" s="1772"/>
      <c r="H27" s="1772"/>
      <c r="I27" s="1772"/>
      <c r="J27" s="1772"/>
      <c r="K27" s="1"/>
      <c r="L27" s="1"/>
      <c r="M27" s="1"/>
      <c r="N27" s="133"/>
    </row>
    <row r="28" spans="1:25" ht="13.5" customHeight="1" thickBot="1">
      <c r="A28" s="1"/>
      <c r="B28" s="164"/>
      <c r="C28" s="607"/>
      <c r="D28" s="309"/>
      <c r="E28" s="1773"/>
      <c r="F28" s="1700"/>
      <c r="G28" s="1700"/>
      <c r="H28" s="1700"/>
      <c r="I28" s="1700"/>
      <c r="J28" s="1700"/>
      <c r="K28" s="1700"/>
      <c r="L28" s="1700"/>
      <c r="M28" s="1701"/>
      <c r="N28" s="150"/>
      <c r="O28" s="144"/>
      <c r="P28" s="144"/>
      <c r="Q28" s="144"/>
      <c r="R28" s="1771"/>
      <c r="S28" s="1770"/>
      <c r="T28" s="1770" t="s">
        <v>941</v>
      </c>
      <c r="U28" s="1770"/>
    </row>
    <row r="29" spans="1:25" ht="16.5" customHeight="1" thickBot="1">
      <c r="A29" s="1"/>
      <c r="B29" s="164"/>
      <c r="C29" s="607"/>
      <c r="D29" s="309"/>
      <c r="E29" s="2508" t="s">
        <v>1161</v>
      </c>
      <c r="F29" s="2509"/>
      <c r="G29" s="2509"/>
      <c r="H29" s="2509"/>
      <c r="I29" s="2509"/>
      <c r="J29" s="2502" t="s">
        <v>941</v>
      </c>
      <c r="K29" s="2503"/>
      <c r="L29" s="1774"/>
      <c r="M29" s="1703"/>
      <c r="N29" s="150"/>
      <c r="O29" s="144"/>
      <c r="P29" s="144"/>
      <c r="Q29" s="144"/>
      <c r="R29" s="1771" t="e">
        <f>VLOOKUP(J29,T29:U30,2,FALSE)</f>
        <v>#N/A</v>
      </c>
      <c r="S29" s="1770"/>
      <c r="T29" s="1770" t="s">
        <v>939</v>
      </c>
      <c r="U29" s="1770">
        <v>1</v>
      </c>
    </row>
    <row r="30" spans="1:25" ht="36.75" customHeight="1">
      <c r="A30" s="1"/>
      <c r="B30" s="164"/>
      <c r="C30" s="607"/>
      <c r="D30" s="309"/>
      <c r="E30" s="2508"/>
      <c r="F30" s="2509"/>
      <c r="G30" s="2509"/>
      <c r="H30" s="2509"/>
      <c r="I30" s="2509"/>
      <c r="J30" s="1702"/>
      <c r="K30" s="857"/>
      <c r="L30" s="857"/>
      <c r="M30" s="1703"/>
      <c r="N30" s="150"/>
      <c r="O30" s="144"/>
      <c r="P30" s="144"/>
      <c r="Q30" s="144"/>
      <c r="R30" s="1771"/>
      <c r="S30" s="1770"/>
      <c r="T30" s="1770" t="s">
        <v>940</v>
      </c>
      <c r="U30" s="1770">
        <v>4</v>
      </c>
    </row>
    <row r="31" spans="1:25" ht="4.5" customHeight="1" thickBot="1">
      <c r="A31" s="1"/>
      <c r="B31" s="164"/>
      <c r="C31" s="607"/>
      <c r="D31" s="309"/>
      <c r="E31" s="1704"/>
      <c r="F31" s="857"/>
      <c r="G31" s="857"/>
      <c r="H31" s="857"/>
      <c r="I31" s="857"/>
      <c r="J31" s="1702"/>
      <c r="K31" s="857"/>
      <c r="L31" s="857"/>
      <c r="M31" s="1703"/>
      <c r="N31" s="150"/>
      <c r="O31" s="144"/>
      <c r="P31" s="144"/>
      <c r="Q31" s="144"/>
      <c r="S31" s="1684"/>
      <c r="T31" s="1684"/>
      <c r="U31" s="1684"/>
    </row>
    <row r="32" spans="1:25" ht="16.5" customHeight="1" thickBot="1">
      <c r="A32" s="1"/>
      <c r="B32" s="164"/>
      <c r="C32" s="607"/>
      <c r="D32" s="309"/>
      <c r="E32" s="1705" t="s">
        <v>857</v>
      </c>
      <c r="F32" s="1706" t="s">
        <v>958</v>
      </c>
      <c r="G32" s="857"/>
      <c r="H32" s="857"/>
      <c r="I32" s="857"/>
      <c r="J32" s="1702" t="s">
        <v>859</v>
      </c>
      <c r="K32" s="1706" t="s">
        <v>958</v>
      </c>
      <c r="L32" s="857"/>
      <c r="M32" s="1703"/>
      <c r="N32" s="150"/>
      <c r="O32" s="144"/>
      <c r="P32" s="144"/>
      <c r="Q32" s="144"/>
      <c r="S32" s="1684"/>
      <c r="T32" s="1684" t="s">
        <v>861</v>
      </c>
      <c r="U32" s="1684" t="s">
        <v>860</v>
      </c>
    </row>
    <row r="33" spans="1:21" ht="16.5" customHeight="1">
      <c r="A33" s="1"/>
      <c r="B33" s="164"/>
      <c r="C33" s="607"/>
      <c r="D33" s="309"/>
      <c r="E33" s="1704"/>
      <c r="F33" s="857" t="s">
        <v>862</v>
      </c>
      <c r="G33" s="857"/>
      <c r="H33" s="857"/>
      <c r="I33" s="857"/>
      <c r="J33" s="1702"/>
      <c r="K33" s="857" t="s">
        <v>959</v>
      </c>
      <c r="L33" s="857"/>
      <c r="M33" s="1703"/>
      <c r="N33" s="150"/>
      <c r="O33" s="144"/>
      <c r="P33" s="144"/>
      <c r="Q33" s="144"/>
      <c r="S33" s="1684"/>
      <c r="T33" s="1684" t="s">
        <v>863</v>
      </c>
      <c r="U33" s="1684" t="s">
        <v>864</v>
      </c>
    </row>
    <row r="34" spans="1:21" ht="16.5" customHeight="1">
      <c r="A34" s="1"/>
      <c r="B34" s="164"/>
      <c r="C34" s="607"/>
      <c r="D34" s="309"/>
      <c r="E34" s="1704"/>
      <c r="F34" s="857" t="s">
        <v>865</v>
      </c>
      <c r="G34" s="857"/>
      <c r="H34" s="857"/>
      <c r="I34" s="857"/>
      <c r="J34" s="1702"/>
      <c r="K34" s="857" t="s">
        <v>960</v>
      </c>
      <c r="L34" s="857"/>
      <c r="M34" s="1703"/>
      <c r="N34" s="150"/>
      <c r="O34" s="144"/>
      <c r="P34" s="144"/>
      <c r="Q34" s="144"/>
      <c r="S34" s="1684"/>
      <c r="T34" s="1684" t="s">
        <v>858</v>
      </c>
      <c r="U34" s="1684" t="s">
        <v>411</v>
      </c>
    </row>
    <row r="35" spans="1:21" ht="16.5" customHeight="1">
      <c r="A35" s="1"/>
      <c r="B35" s="164"/>
      <c r="C35" s="607"/>
      <c r="D35" s="309"/>
      <c r="E35" s="1704"/>
      <c r="F35" s="857" t="s">
        <v>866</v>
      </c>
      <c r="G35" s="857"/>
      <c r="H35" s="857"/>
      <c r="I35" s="857"/>
      <c r="J35" s="1702"/>
      <c r="K35" s="1776" t="s">
        <v>961</v>
      </c>
      <c r="L35" s="857"/>
      <c r="M35" s="1703"/>
      <c r="N35" s="150"/>
      <c r="O35" s="144"/>
      <c r="P35" s="144"/>
      <c r="Q35" s="144"/>
      <c r="S35" s="1684"/>
      <c r="T35" s="1684" t="s">
        <v>411</v>
      </c>
      <c r="U35" s="1684"/>
    </row>
    <row r="36" spans="1:21" ht="16.5" customHeight="1">
      <c r="A36" s="1"/>
      <c r="B36" s="164"/>
      <c r="C36" s="607"/>
      <c r="D36" s="309"/>
      <c r="E36" s="1707"/>
      <c r="F36" s="1777" t="s">
        <v>961</v>
      </c>
      <c r="G36" s="1427"/>
      <c r="H36" s="1427"/>
      <c r="I36" s="1427"/>
      <c r="J36" s="1708"/>
      <c r="K36" s="1427"/>
      <c r="L36" s="1427"/>
      <c r="M36" s="1709"/>
      <c r="N36" s="150"/>
      <c r="O36" s="144"/>
      <c r="P36" s="144"/>
      <c r="Q36" s="144"/>
      <c r="S36" s="1684"/>
      <c r="T36" s="1684"/>
      <c r="U36" s="1684"/>
    </row>
    <row r="37" spans="1:21" ht="7.5" customHeight="1">
      <c r="A37" s="1"/>
      <c r="B37" s="164"/>
      <c r="C37" s="607"/>
      <c r="D37" s="309"/>
      <c r="E37" s="309"/>
      <c r="F37" s="1"/>
      <c r="G37" s="1"/>
      <c r="H37" s="1"/>
      <c r="I37" s="1"/>
      <c r="J37" s="1"/>
      <c r="K37" s="1"/>
      <c r="L37" s="1"/>
      <c r="M37" s="1"/>
      <c r="N37" s="133"/>
    </row>
    <row r="38" spans="1:21" ht="15.75" hidden="1" customHeight="1">
      <c r="A38" s="1"/>
      <c r="B38" s="164"/>
      <c r="C38" s="607"/>
      <c r="D38" s="309"/>
      <c r="E38" s="1686" t="s">
        <v>913</v>
      </c>
      <c r="F38" s="1"/>
      <c r="G38" s="4"/>
      <c r="H38" s="1"/>
      <c r="I38" s="1"/>
      <c r="J38" s="1"/>
      <c r="K38" s="1"/>
      <c r="L38" s="1"/>
      <c r="M38" s="1"/>
      <c r="N38" s="133"/>
    </row>
    <row r="39" spans="1:21" ht="15.75" hidden="1" customHeight="1">
      <c r="A39" s="1"/>
      <c r="B39" s="164"/>
      <c r="C39" s="607"/>
      <c r="D39" s="309"/>
      <c r="E39" s="1749" t="s">
        <v>915</v>
      </c>
      <c r="F39" s="1747"/>
      <c r="G39" s="1748"/>
      <c r="H39" s="4"/>
      <c r="I39" s="1"/>
      <c r="J39" s="1"/>
      <c r="K39" s="1"/>
      <c r="L39" s="1"/>
      <c r="M39" s="1"/>
      <c r="N39" s="133"/>
    </row>
    <row r="40" spans="1:21" ht="15.75" hidden="1" customHeight="1">
      <c r="A40" s="1"/>
      <c r="B40" s="164"/>
      <c r="C40" s="607"/>
      <c r="D40" s="309"/>
      <c r="E40" s="1745" t="s">
        <v>850</v>
      </c>
      <c r="F40" s="1746"/>
      <c r="G40" s="1760"/>
      <c r="H40" s="1" t="s">
        <v>914</v>
      </c>
      <c r="I40" s="1"/>
      <c r="J40" s="1"/>
      <c r="K40" s="1"/>
      <c r="L40" s="1"/>
      <c r="M40" s="1"/>
      <c r="N40" s="133"/>
    </row>
    <row r="41" spans="1:21" ht="15.75" hidden="1" customHeight="1">
      <c r="A41" s="1"/>
      <c r="B41" s="164"/>
      <c r="C41" s="607"/>
      <c r="D41" s="309"/>
      <c r="E41" s="1745" t="s">
        <v>853</v>
      </c>
      <c r="F41" s="1746"/>
      <c r="G41" s="1761"/>
      <c r="H41" s="1" t="s">
        <v>914</v>
      </c>
      <c r="I41" s="1"/>
      <c r="J41" s="1"/>
      <c r="K41" s="1"/>
      <c r="L41" s="1"/>
      <c r="M41" s="1"/>
      <c r="N41" s="133"/>
    </row>
    <row r="42" spans="1:21" ht="15.75" hidden="1" customHeight="1">
      <c r="A42" s="1"/>
      <c r="B42" s="164"/>
      <c r="C42" s="607"/>
      <c r="D42" s="309"/>
      <c r="E42" s="1745" t="s">
        <v>854</v>
      </c>
      <c r="F42" s="1746"/>
      <c r="G42" s="1761"/>
      <c r="H42" s="1" t="s">
        <v>914</v>
      </c>
      <c r="I42" s="1"/>
      <c r="J42" s="1"/>
      <c r="K42" s="1"/>
      <c r="L42" s="1"/>
      <c r="M42" s="1"/>
      <c r="N42" s="133"/>
    </row>
    <row r="43" spans="1:21" ht="16.5" hidden="1" customHeight="1" thickBot="1">
      <c r="A43" s="1"/>
      <c r="B43" s="164"/>
      <c r="C43" s="607"/>
      <c r="D43" s="309"/>
      <c r="E43" s="1745" t="s">
        <v>855</v>
      </c>
      <c r="F43" s="1746"/>
      <c r="G43" s="1762"/>
      <c r="H43" s="1" t="s">
        <v>914</v>
      </c>
      <c r="I43" s="1"/>
      <c r="J43" s="1"/>
      <c r="K43" s="1"/>
      <c r="L43" s="1"/>
      <c r="M43" s="1"/>
      <c r="N43" s="133"/>
    </row>
    <row r="44" spans="1:21" ht="15.75" hidden="1" customHeight="1">
      <c r="A44" s="1"/>
      <c r="B44" s="164"/>
      <c r="C44" s="607"/>
      <c r="D44" s="309"/>
      <c r="E44" s="309"/>
      <c r="F44" s="1"/>
      <c r="G44" s="1"/>
      <c r="H44" s="1"/>
      <c r="I44" s="1"/>
      <c r="J44" s="1"/>
      <c r="K44" s="1"/>
      <c r="L44" s="1"/>
      <c r="M44" s="1"/>
      <c r="N44" s="133"/>
    </row>
    <row r="45" spans="1:21" ht="16.5" customHeight="1">
      <c r="A45" s="1"/>
      <c r="B45" s="164"/>
      <c r="C45" s="607"/>
      <c r="D45" s="144"/>
      <c r="E45" s="781" t="s">
        <v>3</v>
      </c>
      <c r="F45" s="782"/>
      <c r="G45" s="1201"/>
      <c r="H45" s="1201"/>
      <c r="I45" s="2388"/>
      <c r="J45" s="2389"/>
      <c r="K45" s="2389"/>
      <c r="L45" s="2389"/>
      <c r="M45" s="2390"/>
      <c r="N45" s="133"/>
      <c r="P45" s="1681" t="s">
        <v>625</v>
      </c>
      <c r="U45" s="584">
        <f>$Q$9</f>
        <v>1</v>
      </c>
    </row>
    <row r="46" spans="1:21" s="144" customFormat="1" ht="16.5" customHeight="1">
      <c r="A46" s="51"/>
      <c r="B46" s="164"/>
      <c r="C46" s="607"/>
      <c r="E46" s="152" t="s">
        <v>1077</v>
      </c>
      <c r="F46" s="417"/>
      <c r="G46" s="417"/>
      <c r="H46" s="417"/>
      <c r="I46" s="2180"/>
      <c r="J46" s="1860"/>
      <c r="K46" s="1860"/>
      <c r="L46" s="1860"/>
      <c r="M46" s="1860"/>
      <c r="N46" s="150"/>
      <c r="P46" s="584"/>
      <c r="Q46" s="4"/>
      <c r="R46" s="4"/>
      <c r="S46" s="4"/>
      <c r="T46" s="4"/>
      <c r="U46" s="584">
        <f>$Q$10</f>
        <v>2</v>
      </c>
    </row>
    <row r="47" spans="1:21" s="144" customFormat="1" ht="16.5" customHeight="1" thickBot="1">
      <c r="A47" s="51"/>
      <c r="B47" s="164"/>
      <c r="C47" s="607"/>
      <c r="E47" s="152" t="s">
        <v>1418</v>
      </c>
      <c r="F47" s="417"/>
      <c r="G47" s="417"/>
      <c r="H47" s="417"/>
      <c r="I47" s="2181"/>
      <c r="J47" s="1860"/>
      <c r="K47" s="1860"/>
      <c r="L47" s="1860"/>
      <c r="M47" s="1860"/>
      <c r="N47" s="150"/>
      <c r="P47" s="1861"/>
      <c r="Q47" s="1862"/>
      <c r="R47" s="37"/>
      <c r="S47" s="37"/>
      <c r="U47" s="1861"/>
    </row>
    <row r="48" spans="1:21" s="144" customFormat="1" ht="21" customHeight="1" thickBot="1">
      <c r="A48" s="51"/>
      <c r="B48" s="164"/>
      <c r="C48" s="607"/>
      <c r="E48" s="2186" t="s">
        <v>1002</v>
      </c>
      <c r="F48" s="2413" t="s">
        <v>1415</v>
      </c>
      <c r="G48" s="2411"/>
      <c r="H48" s="2411"/>
      <c r="I48" s="2411"/>
      <c r="J48" s="2411"/>
      <c r="K48" s="2411"/>
      <c r="L48" s="2411"/>
      <c r="M48" s="2412"/>
      <c r="N48" s="150"/>
      <c r="P48" s="1861"/>
      <c r="Q48" s="1862"/>
      <c r="R48" s="37"/>
      <c r="S48" s="37"/>
      <c r="U48" s="1861"/>
    </row>
    <row r="49" spans="1:25" s="144" customFormat="1" ht="21" customHeight="1" thickBot="1">
      <c r="A49" s="51"/>
      <c r="B49" s="164"/>
      <c r="C49" s="607"/>
      <c r="E49" s="2186" t="s">
        <v>1002</v>
      </c>
      <c r="F49" s="2413" t="s">
        <v>1416</v>
      </c>
      <c r="G49" s="2411"/>
      <c r="H49" s="2411"/>
      <c r="I49" s="2411"/>
      <c r="J49" s="2411"/>
      <c r="K49" s="2411"/>
      <c r="L49" s="2411"/>
      <c r="M49" s="2412"/>
      <c r="N49" s="150"/>
      <c r="P49" s="1861"/>
      <c r="Q49" s="1862"/>
      <c r="R49" s="37"/>
      <c r="S49" s="37"/>
      <c r="U49" s="1861"/>
    </row>
    <row r="50" spans="1:25" s="144" customFormat="1" ht="21" customHeight="1" thickBot="1">
      <c r="A50" s="51"/>
      <c r="B50" s="164"/>
      <c r="C50" s="607"/>
      <c r="E50" s="2186" t="s">
        <v>1002</v>
      </c>
      <c r="F50" s="2413" t="s">
        <v>1417</v>
      </c>
      <c r="G50" s="2411"/>
      <c r="H50" s="2411"/>
      <c r="I50" s="2411"/>
      <c r="J50" s="2411"/>
      <c r="K50" s="2411"/>
      <c r="L50" s="2411"/>
      <c r="M50" s="2412"/>
      <c r="N50" s="150"/>
      <c r="P50" s="1861"/>
      <c r="Q50" s="1862"/>
      <c r="R50" s="37"/>
      <c r="S50" s="37"/>
      <c r="U50" s="1861"/>
    </row>
    <row r="51" spans="1:25" s="144" customFormat="1" ht="21" customHeight="1" thickBot="1">
      <c r="A51" s="51"/>
      <c r="B51" s="164"/>
      <c r="C51" s="607"/>
      <c r="E51" s="2186" t="s">
        <v>1002</v>
      </c>
      <c r="F51" s="2413" t="s">
        <v>1422</v>
      </c>
      <c r="G51" s="2411"/>
      <c r="H51" s="2411"/>
      <c r="I51" s="2411"/>
      <c r="J51" s="2411"/>
      <c r="K51" s="2411"/>
      <c r="L51" s="2411"/>
      <c r="M51" s="2412"/>
      <c r="N51" s="150"/>
      <c r="P51" s="1861"/>
      <c r="Q51" s="1862"/>
      <c r="R51" s="37"/>
      <c r="S51" s="37"/>
      <c r="U51" s="1861"/>
    </row>
    <row r="52" spans="1:25" s="144" customFormat="1" ht="16.5" customHeight="1" thickBot="1">
      <c r="A52" s="51"/>
      <c r="B52" s="164"/>
      <c r="C52" s="607"/>
      <c r="E52" s="152" t="s">
        <v>1419</v>
      </c>
      <c r="F52" s="417"/>
      <c r="G52" s="417"/>
      <c r="H52" s="417"/>
      <c r="I52" s="2180"/>
      <c r="J52" s="1860"/>
      <c r="K52" s="1860"/>
      <c r="L52" s="1860"/>
      <c r="M52" s="1860"/>
      <c r="N52" s="150"/>
      <c r="P52" s="1861"/>
      <c r="Q52" s="1862"/>
      <c r="R52" s="37"/>
      <c r="S52" s="37"/>
      <c r="U52" s="1861"/>
    </row>
    <row r="53" spans="1:25" s="144" customFormat="1" ht="21" customHeight="1" thickBot="1">
      <c r="A53" s="51"/>
      <c r="B53" s="164"/>
      <c r="C53" s="607"/>
      <c r="E53" s="2186" t="s">
        <v>1002</v>
      </c>
      <c r="F53" s="2413" t="s">
        <v>1420</v>
      </c>
      <c r="G53" s="2411"/>
      <c r="H53" s="2411"/>
      <c r="I53" s="2411"/>
      <c r="J53" s="2411"/>
      <c r="K53" s="2411"/>
      <c r="L53" s="2411"/>
      <c r="M53" s="2412"/>
      <c r="N53" s="150"/>
      <c r="P53" s="1861"/>
      <c r="Q53" s="1862"/>
      <c r="R53" s="37"/>
      <c r="S53" s="37"/>
      <c r="U53" s="1861"/>
    </row>
    <row r="54" spans="1:25" s="144" customFormat="1" ht="21" customHeight="1" thickBot="1">
      <c r="A54" s="51"/>
      <c r="B54" s="164"/>
      <c r="C54" s="607"/>
      <c r="E54" s="2186" t="s">
        <v>1002</v>
      </c>
      <c r="F54" s="2413" t="s">
        <v>1421</v>
      </c>
      <c r="G54" s="2411"/>
      <c r="H54" s="2411"/>
      <c r="I54" s="2411"/>
      <c r="J54" s="2411"/>
      <c r="K54" s="2411"/>
      <c r="L54" s="2411"/>
      <c r="M54" s="2412"/>
      <c r="N54" s="150"/>
      <c r="P54" s="1861"/>
      <c r="Q54" s="1862"/>
      <c r="R54" s="37"/>
      <c r="S54" s="37"/>
      <c r="U54" s="1861"/>
    </row>
    <row r="55" spans="1:25" s="144" customFormat="1" ht="21" customHeight="1" thickBot="1">
      <c r="A55" s="51"/>
      <c r="B55" s="164"/>
      <c r="C55" s="607"/>
      <c r="E55" s="2186" t="s">
        <v>1002</v>
      </c>
      <c r="F55" s="2413" t="s">
        <v>1423</v>
      </c>
      <c r="G55" s="2411"/>
      <c r="H55" s="2411"/>
      <c r="I55" s="2411"/>
      <c r="J55" s="2411"/>
      <c r="K55" s="2411"/>
      <c r="L55" s="2411"/>
      <c r="M55" s="2412"/>
      <c r="N55" s="150"/>
      <c r="P55" s="1861"/>
      <c r="Q55" s="1862"/>
      <c r="R55" s="37"/>
      <c r="S55" s="37"/>
      <c r="U55" s="1861"/>
    </row>
    <row r="56" spans="1:25" ht="16.5" customHeight="1">
      <c r="A56" s="1"/>
      <c r="B56"/>
      <c r="C56"/>
      <c r="D56"/>
      <c r="E56"/>
      <c r="F56"/>
      <c r="G56"/>
      <c r="H56"/>
      <c r="I56"/>
      <c r="J56"/>
      <c r="K56"/>
      <c r="L56"/>
      <c r="M56"/>
      <c r="N56" s="133"/>
    </row>
    <row r="57" spans="1:25" ht="10.5" customHeight="1">
      <c r="A57" s="1"/>
      <c r="B57" s="164"/>
      <c r="C57" s="34"/>
      <c r="D57" s="38"/>
      <c r="E57" s="38"/>
      <c r="F57" s="38"/>
      <c r="G57" s="38"/>
      <c r="H57" s="38"/>
      <c r="I57" s="38"/>
      <c r="J57" s="154"/>
      <c r="K57" s="154"/>
      <c r="L57" s="154"/>
      <c r="M57" s="154"/>
      <c r="N57" s="133"/>
      <c r="P57" s="615"/>
      <c r="T57" s="598"/>
      <c r="U57" s="615"/>
    </row>
    <row r="58" spans="1:25" ht="15.75">
      <c r="A58" s="1"/>
      <c r="B58" s="566">
        <v>1.2</v>
      </c>
      <c r="C58" s="147" t="s">
        <v>569</v>
      </c>
      <c r="D58" s="147"/>
      <c r="E58" s="38"/>
      <c r="F58" s="38"/>
      <c r="G58" s="38"/>
      <c r="H58" s="38"/>
      <c r="I58" s="38"/>
      <c r="J58" s="154"/>
      <c r="K58" s="154"/>
      <c r="L58" s="154"/>
      <c r="M58" s="154"/>
      <c r="N58" s="133"/>
      <c r="P58" s="380"/>
      <c r="T58" s="598"/>
      <c r="U58" s="380"/>
    </row>
    <row r="59" spans="1:25" s="327" customFormat="1" ht="16.5" customHeight="1" thickBot="1">
      <c r="A59" s="22"/>
      <c r="B59" s="24"/>
      <c r="C59" s="24"/>
      <c r="D59" s="24"/>
      <c r="E59" s="302"/>
      <c r="F59" s="302"/>
      <c r="G59" s="302"/>
      <c r="H59" s="302"/>
      <c r="I59" s="150"/>
      <c r="J59" s="414"/>
      <c r="K59" s="150"/>
      <c r="L59" s="176" t="s">
        <v>2</v>
      </c>
      <c r="M59" s="173">
        <f>重み!M55</f>
        <v>0.1</v>
      </c>
      <c r="N59" s="302"/>
      <c r="O59" s="324">
        <f t="shared" ref="O59:U59" si="1">C59</f>
        <v>0</v>
      </c>
      <c r="P59" s="324">
        <f t="shared" si="1"/>
        <v>0</v>
      </c>
      <c r="Q59" s="324">
        <f t="shared" si="1"/>
        <v>0</v>
      </c>
      <c r="R59" s="324">
        <f t="shared" si="1"/>
        <v>0</v>
      </c>
      <c r="S59" s="324">
        <f t="shared" si="1"/>
        <v>0</v>
      </c>
      <c r="T59" s="324">
        <f t="shared" si="1"/>
        <v>0</v>
      </c>
      <c r="U59" s="324">
        <f t="shared" si="1"/>
        <v>0</v>
      </c>
      <c r="V59" s="324">
        <f>J59</f>
        <v>0</v>
      </c>
      <c r="W59" s="324">
        <f>K59</f>
        <v>0</v>
      </c>
      <c r="X59" s="324" t="str">
        <f>L59</f>
        <v>重み係数＝</v>
      </c>
      <c r="Y59" s="324">
        <f>M59</f>
        <v>0.1</v>
      </c>
    </row>
    <row r="60" spans="1:25" ht="16.5" customHeight="1" thickBot="1">
      <c r="A60" s="1"/>
      <c r="B60" s="164"/>
      <c r="C60" s="133"/>
      <c r="D60" s="1050">
        <f>ROUND(IF(F74&lt;1,1,IF(F74&lt;2,3,IF(F74&lt;5,4,5))),0)</f>
        <v>3</v>
      </c>
      <c r="E60" s="2391" t="s">
        <v>391</v>
      </c>
      <c r="F60" s="2392"/>
      <c r="G60" s="2392"/>
      <c r="H60" s="2392"/>
      <c r="I60" s="2392"/>
      <c r="J60" s="2392"/>
      <c r="K60" s="2392"/>
      <c r="L60" s="2392"/>
      <c r="M60" s="2393"/>
      <c r="N60" s="133"/>
    </row>
    <row r="61" spans="1:25" ht="16.5" customHeight="1">
      <c r="A61" s="1"/>
      <c r="B61" s="164"/>
      <c r="C61" s="133"/>
      <c r="D61" s="32" t="str">
        <f>IF(D60=$Q$14,$R$9,IF(ROUNDDOWN(D60,0)=$Q$9,$S$9,$R$9))</f>
        <v>　レベル　1</v>
      </c>
      <c r="E61" s="522" t="s">
        <v>1162</v>
      </c>
      <c r="F61" s="580"/>
      <c r="G61" s="580"/>
      <c r="H61" s="580"/>
      <c r="I61" s="580"/>
      <c r="J61" s="580"/>
      <c r="K61" s="580"/>
      <c r="L61" s="580"/>
      <c r="M61" s="581"/>
      <c r="N61" s="133"/>
      <c r="P61" s="584">
        <f>$Q$9</f>
        <v>1</v>
      </c>
      <c r="U61" s="584">
        <f>$Q$9</f>
        <v>1</v>
      </c>
    </row>
    <row r="62" spans="1:25" ht="16.5" customHeight="1">
      <c r="A62" s="1"/>
      <c r="B62" s="164"/>
      <c r="C62" s="133"/>
      <c r="D62" s="35" t="str">
        <f>IF(D60=$Q$14,$R$10,IF(ROUNDDOWN(D60,0)=$Q$10,$S$10,$R$10))</f>
        <v>　レベル　2</v>
      </c>
      <c r="E62" s="523" t="s">
        <v>383</v>
      </c>
      <c r="F62" s="582"/>
      <c r="G62" s="582"/>
      <c r="H62" s="582"/>
      <c r="I62" s="582"/>
      <c r="J62" s="582"/>
      <c r="K62" s="582"/>
      <c r="L62" s="582"/>
      <c r="M62" s="583"/>
      <c r="N62" s="133"/>
      <c r="P62" s="584" t="s">
        <v>60</v>
      </c>
      <c r="U62" s="584">
        <f>$Q$10</f>
        <v>2</v>
      </c>
    </row>
    <row r="63" spans="1:25" ht="16.5" customHeight="1">
      <c r="A63" s="1"/>
      <c r="B63" s="164"/>
      <c r="C63" s="133"/>
      <c r="D63" s="35" t="str">
        <f>IF(D60=$Q$14,$R$11,IF(ROUNDDOWN(D60,0)=$Q$11,$S$11,$R$11))</f>
        <v>■レベル　3</v>
      </c>
      <c r="E63" s="523" t="s">
        <v>1163</v>
      </c>
      <c r="F63" s="582"/>
      <c r="G63" s="582"/>
      <c r="H63" s="582"/>
      <c r="I63" s="582"/>
      <c r="J63" s="582"/>
      <c r="K63" s="582"/>
      <c r="L63" s="582"/>
      <c r="M63" s="583"/>
      <c r="N63" s="133"/>
      <c r="P63" s="584">
        <f>$Q$11</f>
        <v>3</v>
      </c>
      <c r="U63" s="584">
        <f>$Q$11</f>
        <v>3</v>
      </c>
    </row>
    <row r="64" spans="1:25" ht="16.5" customHeight="1">
      <c r="A64" s="1"/>
      <c r="B64" s="164"/>
      <c r="C64" s="133"/>
      <c r="D64" s="35" t="str">
        <f>IF(D60=$Q$14,$R$12,IF(ROUNDDOWN(D60,0)=$Q$12,$S$12,$R$12))</f>
        <v>　レベル　4</v>
      </c>
      <c r="E64" s="535" t="s">
        <v>1164</v>
      </c>
      <c r="F64" s="585"/>
      <c r="G64" s="585"/>
      <c r="H64" s="585"/>
      <c r="I64" s="585"/>
      <c r="J64" s="585"/>
      <c r="K64" s="585"/>
      <c r="L64" s="585"/>
      <c r="M64" s="586"/>
      <c r="N64" s="133"/>
      <c r="P64" s="584">
        <f>$Q$12</f>
        <v>4</v>
      </c>
      <c r="Q64" s="598"/>
      <c r="R64" s="598"/>
      <c r="S64" s="598"/>
      <c r="U64" s="584">
        <f>$Q$12</f>
        <v>4</v>
      </c>
    </row>
    <row r="65" spans="1:25" ht="16.5" customHeight="1">
      <c r="A65" s="1"/>
      <c r="B65" s="164"/>
      <c r="C65" s="133"/>
      <c r="D65" s="33" t="str">
        <f>IF(D60=$Q$14,$R$13,IF(ROUNDDOWN(D60,0)=$Q$13,$S$13,$R$13))</f>
        <v>　レベル　5</v>
      </c>
      <c r="E65" s="561" t="s">
        <v>1165</v>
      </c>
      <c r="F65" s="587"/>
      <c r="G65" s="587"/>
      <c r="H65" s="587"/>
      <c r="I65" s="587"/>
      <c r="J65" s="587"/>
      <c r="K65" s="587"/>
      <c r="L65" s="587"/>
      <c r="M65" s="588"/>
      <c r="N65" s="133"/>
      <c r="P65" s="584">
        <f>$Q$13</f>
        <v>5</v>
      </c>
      <c r="U65" s="584">
        <f>$Q$13</f>
        <v>5</v>
      </c>
    </row>
    <row r="66" spans="1:25" ht="16.5" customHeight="1">
      <c r="A66" s="1"/>
      <c r="B66" s="164"/>
      <c r="C66" s="34"/>
      <c r="D66" s="38"/>
      <c r="E66" s="152" t="s">
        <v>32</v>
      </c>
      <c r="F66" s="28"/>
      <c r="G66" s="28"/>
      <c r="H66" s="28"/>
      <c r="I66" s="28"/>
      <c r="J66" s="28"/>
      <c r="K66" s="28"/>
      <c r="L66" s="150"/>
      <c r="M66" s="150"/>
      <c r="N66" s="133"/>
      <c r="P66" s="584" t="s">
        <v>60</v>
      </c>
      <c r="T66" s="598"/>
      <c r="U66" s="584" t="str">
        <f>$Q$14</f>
        <v>対象外</v>
      </c>
    </row>
    <row r="67" spans="1:25" ht="16.5" customHeight="1" thickBot="1">
      <c r="A67" s="1"/>
      <c r="B67" s="164"/>
      <c r="C67" s="34"/>
      <c r="D67" s="134"/>
      <c r="E67" s="140" t="s">
        <v>331</v>
      </c>
      <c r="F67" s="507" t="s">
        <v>467</v>
      </c>
      <c r="G67" s="370"/>
      <c r="H67" s="508"/>
      <c r="I67" s="507" t="s">
        <v>74</v>
      </c>
      <c r="J67" s="370"/>
      <c r="K67" s="370"/>
      <c r="L67" s="508"/>
      <c r="M67" s="165" t="s">
        <v>359</v>
      </c>
      <c r="N67" s="133"/>
    </row>
    <row r="68" spans="1:25" ht="16.5" customHeight="1">
      <c r="A68" s="1"/>
      <c r="B68" s="164"/>
      <c r="C68" s="34"/>
      <c r="D68" s="134"/>
      <c r="E68" s="1066"/>
      <c r="F68" s="1609" t="s">
        <v>97</v>
      </c>
      <c r="G68" s="582" t="s">
        <v>570</v>
      </c>
      <c r="H68" s="592"/>
      <c r="I68" s="582" t="s">
        <v>701</v>
      </c>
      <c r="J68" s="594"/>
      <c r="K68" s="594"/>
      <c r="L68" s="589"/>
      <c r="M68" s="1626">
        <v>2</v>
      </c>
      <c r="N68" s="134"/>
      <c r="P68" s="4">
        <v>0</v>
      </c>
      <c r="Q68" s="4">
        <f>M68</f>
        <v>2</v>
      </c>
    </row>
    <row r="69" spans="1:25" ht="16.5" customHeight="1">
      <c r="A69" s="1"/>
      <c r="B69" s="164"/>
      <c r="C69" s="34"/>
      <c r="D69" s="134"/>
      <c r="E69" s="1067"/>
      <c r="F69" s="2495" t="s">
        <v>96</v>
      </c>
      <c r="G69" s="582" t="s">
        <v>571</v>
      </c>
      <c r="H69" s="583"/>
      <c r="I69" s="582" t="s">
        <v>835</v>
      </c>
      <c r="J69" s="548"/>
      <c r="K69" s="548"/>
      <c r="L69" s="590"/>
      <c r="M69" s="1627">
        <v>1</v>
      </c>
      <c r="N69" s="134"/>
      <c r="P69" s="4">
        <v>0</v>
      </c>
      <c r="Q69" s="4">
        <f>M69</f>
        <v>1</v>
      </c>
    </row>
    <row r="70" spans="1:25" ht="16.5" customHeight="1">
      <c r="A70" s="1"/>
      <c r="B70" s="164"/>
      <c r="C70" s="34"/>
      <c r="D70" s="134"/>
      <c r="E70" s="2469">
        <v>1</v>
      </c>
      <c r="F70" s="2496"/>
      <c r="G70" s="1010" t="s">
        <v>572</v>
      </c>
      <c r="H70" s="1029" t="s">
        <v>702</v>
      </c>
      <c r="I70" s="582" t="s">
        <v>701</v>
      </c>
      <c r="J70" s="548"/>
      <c r="K70" s="548"/>
      <c r="L70" s="590"/>
      <c r="M70" s="1627">
        <v>1</v>
      </c>
      <c r="N70" s="134"/>
      <c r="P70" s="4">
        <v>0</v>
      </c>
      <c r="Q70" s="4">
        <f>M70</f>
        <v>1</v>
      </c>
    </row>
    <row r="71" spans="1:25" ht="16.5" customHeight="1">
      <c r="A71" s="1"/>
      <c r="B71" s="164"/>
      <c r="C71" s="164"/>
      <c r="D71" s="134"/>
      <c r="E71" s="2494"/>
      <c r="F71" s="2496"/>
      <c r="G71" s="580"/>
      <c r="H71" s="1029" t="s">
        <v>99</v>
      </c>
      <c r="I71" s="582" t="s">
        <v>701</v>
      </c>
      <c r="J71" s="548"/>
      <c r="K71" s="548"/>
      <c r="L71" s="590"/>
      <c r="M71" s="1627">
        <v>1</v>
      </c>
      <c r="N71" s="134"/>
    </row>
    <row r="72" spans="1:25" ht="16.5" customHeight="1">
      <c r="A72" s="1"/>
      <c r="B72" s="164"/>
      <c r="C72" s="34"/>
      <c r="D72" s="134"/>
      <c r="E72" s="2469"/>
      <c r="F72" s="2497"/>
      <c r="G72" s="582" t="s">
        <v>573</v>
      </c>
      <c r="H72" s="583"/>
      <c r="I72" s="582" t="s">
        <v>778</v>
      </c>
      <c r="J72" s="548"/>
      <c r="K72" s="548"/>
      <c r="L72" s="590"/>
      <c r="M72" s="1627">
        <v>1</v>
      </c>
      <c r="N72" s="134"/>
      <c r="P72" s="4">
        <v>0</v>
      </c>
      <c r="Q72" s="4">
        <f>M72</f>
        <v>1</v>
      </c>
    </row>
    <row r="73" spans="1:25" ht="16.5" customHeight="1" thickBot="1">
      <c r="A73" s="1"/>
      <c r="B73" s="164"/>
      <c r="C73" s="164"/>
      <c r="D73" s="134"/>
      <c r="E73" s="2470"/>
      <c r="F73" s="591" t="s">
        <v>98</v>
      </c>
      <c r="G73" s="593" t="s">
        <v>574</v>
      </c>
      <c r="H73" s="593"/>
      <c r="I73" s="2403" t="s">
        <v>703</v>
      </c>
      <c r="J73" s="2408"/>
      <c r="K73" s="2408"/>
      <c r="L73" s="2409"/>
      <c r="M73" s="1628">
        <v>1</v>
      </c>
      <c r="N73" s="134"/>
    </row>
    <row r="74" spans="1:25" ht="16.5" customHeight="1">
      <c r="A74" s="1"/>
      <c r="B74" s="1021"/>
      <c r="C74" s="34"/>
      <c r="D74" s="134"/>
      <c r="E74" s="596" t="s">
        <v>456</v>
      </c>
      <c r="F74" s="556">
        <f>SUM(E68:E73)</f>
        <v>1</v>
      </c>
      <c r="G74" s="1030"/>
      <c r="H74" s="1030"/>
      <c r="I74" s="370"/>
      <c r="J74" s="556"/>
      <c r="K74" s="556"/>
      <c r="L74" s="370"/>
      <c r="M74" s="558"/>
      <c r="N74" s="134"/>
    </row>
    <row r="75" spans="1:25" s="144" customFormat="1" ht="8.25" customHeight="1">
      <c r="A75" s="51"/>
      <c r="B75" s="164"/>
      <c r="C75" s="607"/>
      <c r="D75" s="309"/>
      <c r="E75" s="309"/>
      <c r="F75" s="1"/>
      <c r="G75" s="1"/>
      <c r="H75" s="1"/>
      <c r="I75" s="1"/>
      <c r="J75" s="1"/>
      <c r="K75" s="1"/>
      <c r="L75" s="1"/>
      <c r="M75" s="1"/>
      <c r="N75" s="150"/>
      <c r="P75" s="584" t="s">
        <v>60</v>
      </c>
      <c r="Q75" s="324" t="s">
        <v>82</v>
      </c>
      <c r="R75" s="4"/>
      <c r="S75" s="4"/>
      <c r="T75" s="132"/>
    </row>
    <row r="76" spans="1:25" s="144" customFormat="1" ht="21" customHeight="1">
      <c r="A76" s="51"/>
      <c r="B76" s="164"/>
      <c r="C76" s="607"/>
      <c r="E76" s="781" t="s">
        <v>3</v>
      </c>
      <c r="F76" s="782"/>
      <c r="G76" s="1201"/>
      <c r="H76" s="1201"/>
      <c r="I76" s="2388"/>
      <c r="J76" s="2389"/>
      <c r="K76" s="2389"/>
      <c r="L76" s="2389"/>
      <c r="M76" s="2390"/>
      <c r="N76" s="150"/>
      <c r="P76" s="615"/>
      <c r="Q76" s="324"/>
      <c r="R76" s="4"/>
      <c r="S76" s="4"/>
      <c r="T76" s="132"/>
      <c r="U76" s="615"/>
      <c r="V76" s="132"/>
      <c r="W76" s="132"/>
      <c r="X76" s="132"/>
      <c r="Y76" s="132"/>
    </row>
    <row r="77" spans="1:25" ht="11.25" customHeight="1">
      <c r="A77" s="1"/>
      <c r="B77" s="164"/>
      <c r="C77" s="34"/>
      <c r="D77" s="38"/>
      <c r="E77" s="38"/>
      <c r="F77" s="38"/>
      <c r="G77" s="38"/>
      <c r="H77" s="38"/>
      <c r="I77" s="38"/>
      <c r="J77" s="154"/>
      <c r="K77" s="154"/>
      <c r="L77" s="154"/>
      <c r="M77" s="154"/>
      <c r="N77" s="133"/>
      <c r="Q77" s="327"/>
      <c r="R77" s="327"/>
      <c r="S77" s="327"/>
    </row>
    <row r="78" spans="1:25">
      <c r="A78" s="1"/>
      <c r="B78" s="160"/>
      <c r="C78" s="2"/>
      <c r="D78" s="311"/>
      <c r="E78" s="311"/>
      <c r="F78" s="311"/>
      <c r="G78" s="311"/>
      <c r="H78" s="311"/>
      <c r="I78" s="311"/>
      <c r="J78" s="158"/>
      <c r="K78" s="158"/>
      <c r="L78" s="158"/>
      <c r="M78" s="158"/>
      <c r="N78" s="133"/>
      <c r="Q78" s="327"/>
      <c r="R78" s="327"/>
      <c r="S78" s="327"/>
    </row>
    <row r="79" spans="1:25" s="327" customFormat="1" ht="14.25" customHeight="1">
      <c r="A79" s="22"/>
      <c r="B79" s="307">
        <v>2</v>
      </c>
      <c r="C79" s="147" t="s">
        <v>450</v>
      </c>
      <c r="D79" s="150"/>
      <c r="E79" s="150"/>
      <c r="F79" s="311"/>
      <c r="G79" s="150"/>
      <c r="H79" s="150"/>
      <c r="I79" s="150"/>
      <c r="J79" s="150"/>
      <c r="K79" s="150"/>
      <c r="L79" s="150"/>
      <c r="M79" s="150"/>
      <c r="N79" s="302"/>
      <c r="Q79" s="4"/>
      <c r="R79" s="4"/>
      <c r="S79" s="4"/>
    </row>
    <row r="80" spans="1:25" s="327" customFormat="1" ht="14.25" customHeight="1">
      <c r="A80" s="22"/>
      <c r="B80" s="1061">
        <v>2.1</v>
      </c>
      <c r="C80" s="147" t="s">
        <v>451</v>
      </c>
      <c r="D80" s="150"/>
      <c r="E80" s="310"/>
      <c r="F80" s="311"/>
      <c r="G80" s="150"/>
      <c r="H80" s="150"/>
      <c r="I80" s="150"/>
      <c r="J80" s="310"/>
      <c r="K80" s="150"/>
      <c r="L80" s="150"/>
      <c r="M80" s="150"/>
      <c r="N80" s="302"/>
      <c r="O80" s="324"/>
      <c r="P80" s="324"/>
      <c r="Q80" s="324"/>
      <c r="R80" s="324"/>
      <c r="S80" s="324"/>
      <c r="T80" s="324"/>
      <c r="U80" s="324"/>
      <c r="V80" s="324"/>
      <c r="W80" s="324"/>
      <c r="X80" s="324"/>
    </row>
    <row r="81" spans="1:25" ht="16.5" customHeight="1" thickBot="1">
      <c r="A81" s="1"/>
      <c r="B81" s="36"/>
      <c r="C81" s="36"/>
      <c r="D81" s="135"/>
      <c r="E81" s="302"/>
      <c r="F81" s="302"/>
      <c r="G81" s="302"/>
      <c r="H81" s="302"/>
      <c r="I81" s="150"/>
      <c r="J81" s="414"/>
      <c r="K81" s="150"/>
      <c r="L81" s="176" t="s">
        <v>2</v>
      </c>
      <c r="M81" s="173">
        <f>重み!M57</f>
        <v>0.75</v>
      </c>
      <c r="N81" s="133"/>
      <c r="O81" s="324">
        <f t="shared" ref="O81:U81" si="2">C81</f>
        <v>0</v>
      </c>
      <c r="P81" s="324">
        <f t="shared" si="2"/>
        <v>0</v>
      </c>
      <c r="Q81" s="324">
        <f t="shared" si="2"/>
        <v>0</v>
      </c>
      <c r="R81" s="324">
        <f t="shared" si="2"/>
        <v>0</v>
      </c>
      <c r="S81" s="324">
        <f t="shared" si="2"/>
        <v>0</v>
      </c>
      <c r="T81" s="324">
        <f t="shared" si="2"/>
        <v>0</v>
      </c>
      <c r="U81" s="324">
        <f t="shared" si="2"/>
        <v>0</v>
      </c>
      <c r="V81" s="324">
        <f>J81</f>
        <v>0</v>
      </c>
      <c r="W81" s="324">
        <f>K81</f>
        <v>0</v>
      </c>
      <c r="X81" s="324" t="str">
        <f>L81</f>
        <v>重み係数＝</v>
      </c>
      <c r="Y81" s="324">
        <f>M81</f>
        <v>0.75</v>
      </c>
    </row>
    <row r="82" spans="1:25" ht="16.5" customHeight="1" thickBot="1">
      <c r="A82" s="1"/>
      <c r="B82" s="36"/>
      <c r="C82" s="36"/>
      <c r="D82" s="1050">
        <f>ROUND(IF(F93=0,1,IF(F93&lt;=1,3,IF(F93&lt;=2,4,5))),0)</f>
        <v>3</v>
      </c>
      <c r="E82" s="2391" t="s">
        <v>391</v>
      </c>
      <c r="F82" s="2392"/>
      <c r="G82" s="2392"/>
      <c r="H82" s="2392"/>
      <c r="I82" s="2392"/>
      <c r="J82" s="2392"/>
      <c r="K82" s="2392"/>
      <c r="L82" s="2392"/>
      <c r="M82" s="2393"/>
      <c r="N82" s="133"/>
    </row>
    <row r="83" spans="1:25" ht="16.5" customHeight="1">
      <c r="A83" s="1"/>
      <c r="B83" s="36"/>
      <c r="C83" s="36"/>
      <c r="D83" s="32" t="str">
        <f>IF(D82=$Q$14,$R$9,IF(ROUNDDOWN(D82,0)=$Q$9,$S$9,$R$9))</f>
        <v>　レベル　1</v>
      </c>
      <c r="E83" s="522" t="s">
        <v>1166</v>
      </c>
      <c r="F83" s="580"/>
      <c r="G83" s="580"/>
      <c r="H83" s="580"/>
      <c r="I83" s="580"/>
      <c r="J83" s="580"/>
      <c r="K83" s="580"/>
      <c r="L83" s="580"/>
      <c r="M83" s="581"/>
      <c r="N83" s="133"/>
      <c r="P83" s="584">
        <f>$Q$9</f>
        <v>1</v>
      </c>
      <c r="U83" s="584">
        <f>$Q$9</f>
        <v>1</v>
      </c>
    </row>
    <row r="84" spans="1:25" ht="16.5" customHeight="1">
      <c r="A84" s="1"/>
      <c r="B84" s="36"/>
      <c r="C84" s="36"/>
      <c r="D84" s="35" t="str">
        <f>IF(D82=$Q$14,$R$10,IF(ROUNDDOWN(D82,0)=$Q$10,$S$10,$R$10))</f>
        <v>　レベル　2</v>
      </c>
      <c r="E84" s="523" t="s">
        <v>383</v>
      </c>
      <c r="F84" s="582"/>
      <c r="G84" s="582"/>
      <c r="H84" s="582"/>
      <c r="I84" s="582"/>
      <c r="J84" s="582"/>
      <c r="K84" s="582"/>
      <c r="L84" s="582"/>
      <c r="M84" s="583"/>
      <c r="N84" s="133"/>
      <c r="P84" s="584" t="s">
        <v>48</v>
      </c>
      <c r="U84" s="584">
        <f>$Q$10</f>
        <v>2</v>
      </c>
    </row>
    <row r="85" spans="1:25" ht="16.5" customHeight="1">
      <c r="A85" s="1"/>
      <c r="B85" s="36"/>
      <c r="C85" s="36"/>
      <c r="D85" s="35" t="str">
        <f>IF(D82=$Q$14,$R$11,IF(ROUNDDOWN(D82,0)=$Q$11,$S$11,$R$11))</f>
        <v>■レベル　3</v>
      </c>
      <c r="E85" s="523" t="s">
        <v>1167</v>
      </c>
      <c r="F85" s="582"/>
      <c r="G85" s="582"/>
      <c r="H85" s="582"/>
      <c r="I85" s="582"/>
      <c r="J85" s="582"/>
      <c r="K85" s="582"/>
      <c r="L85" s="582"/>
      <c r="M85" s="583"/>
      <c r="N85" s="133"/>
      <c r="P85" s="584">
        <f>$Q$11</f>
        <v>3</v>
      </c>
      <c r="U85" s="584">
        <f>$Q$11</f>
        <v>3</v>
      </c>
    </row>
    <row r="86" spans="1:25" ht="16.5" customHeight="1">
      <c r="A86" s="1"/>
      <c r="B86" s="36"/>
      <c r="C86" s="36"/>
      <c r="D86" s="35" t="str">
        <f>IF(D82=$Q$14,$R$12,IF(ROUNDDOWN(D82,0)=$Q$12,$S$12,$R$12))</f>
        <v>　レベル　4</v>
      </c>
      <c r="E86" s="535" t="s">
        <v>1168</v>
      </c>
      <c r="F86" s="585"/>
      <c r="G86" s="585"/>
      <c r="H86" s="585"/>
      <c r="I86" s="585"/>
      <c r="J86" s="585"/>
      <c r="K86" s="585"/>
      <c r="L86" s="585"/>
      <c r="M86" s="586"/>
      <c r="N86" s="133"/>
      <c r="P86" s="584">
        <f>$Q$12</f>
        <v>4</v>
      </c>
      <c r="Q86" s="598"/>
      <c r="R86" s="598"/>
      <c r="S86" s="598"/>
      <c r="U86" s="584">
        <f>$Q$12</f>
        <v>4</v>
      </c>
    </row>
    <row r="87" spans="1:25" ht="16.5" customHeight="1">
      <c r="A87" s="1"/>
      <c r="B87" s="36"/>
      <c r="C87" s="36"/>
      <c r="D87" s="33" t="str">
        <f>IF(D82=$Q$14,$R$13,IF(ROUNDDOWN(D82,0)=$Q$13,$S$13,$R$13))</f>
        <v>　レベル　5</v>
      </c>
      <c r="E87" s="561" t="s">
        <v>1169</v>
      </c>
      <c r="F87" s="587"/>
      <c r="G87" s="587"/>
      <c r="H87" s="587"/>
      <c r="I87" s="587"/>
      <c r="J87" s="587"/>
      <c r="K87" s="587"/>
      <c r="L87" s="587"/>
      <c r="M87" s="588"/>
      <c r="N87" s="133"/>
      <c r="P87" s="584">
        <f>$Q$13</f>
        <v>5</v>
      </c>
      <c r="Q87" s="144"/>
      <c r="U87" s="584">
        <f>$Q$13</f>
        <v>5</v>
      </c>
    </row>
    <row r="88" spans="1:25" ht="16.5" customHeight="1">
      <c r="A88" s="1"/>
      <c r="B88" s="36"/>
      <c r="C88" s="51"/>
      <c r="D88" s="155"/>
      <c r="E88" s="152" t="s">
        <v>32</v>
      </c>
      <c r="F88" s="51"/>
      <c r="G88" s="151"/>
      <c r="H88" s="40"/>
      <c r="I88" s="40"/>
      <c r="J88" s="51"/>
      <c r="K88" s="51"/>
      <c r="L88" s="51"/>
      <c r="M88" s="51"/>
      <c r="N88" s="51"/>
      <c r="O88" s="144"/>
      <c r="P88" s="584" t="s">
        <v>60</v>
      </c>
      <c r="Q88" s="144"/>
      <c r="T88" s="598"/>
      <c r="U88" s="584" t="str">
        <f>$Q$14</f>
        <v>対象外</v>
      </c>
    </row>
    <row r="89" spans="1:25" ht="16.5" customHeight="1" thickBot="1">
      <c r="A89" s="1"/>
      <c r="B89" s="160"/>
      <c r="C89" s="160"/>
      <c r="D89" s="160"/>
      <c r="E89" s="140" t="s">
        <v>331</v>
      </c>
      <c r="F89" s="511" t="s">
        <v>70</v>
      </c>
      <c r="G89" s="2426" t="s">
        <v>704</v>
      </c>
      <c r="H89" s="2427"/>
      <c r="I89" s="2427"/>
      <c r="J89" s="2427"/>
      <c r="K89" s="2427"/>
      <c r="L89" s="2427"/>
      <c r="M89" s="2428"/>
      <c r="N89" s="51"/>
      <c r="O89" s="144"/>
      <c r="P89" s="144"/>
      <c r="Q89" s="144"/>
    </row>
    <row r="90" spans="1:25" ht="16.5" customHeight="1">
      <c r="A90" s="1"/>
      <c r="B90" s="160"/>
      <c r="C90" s="133"/>
      <c r="D90" s="160"/>
      <c r="E90" s="1198" t="s">
        <v>668</v>
      </c>
      <c r="F90" s="512">
        <v>1</v>
      </c>
      <c r="G90" s="541" t="s">
        <v>575</v>
      </c>
      <c r="H90" s="542"/>
      <c r="I90" s="542"/>
      <c r="J90" s="542"/>
      <c r="K90" s="542"/>
      <c r="L90" s="542"/>
      <c r="M90" s="530"/>
      <c r="N90" s="51"/>
      <c r="O90" s="144"/>
      <c r="P90" s="144"/>
      <c r="Q90" s="144"/>
    </row>
    <row r="91" spans="1:25" ht="16.5" customHeight="1">
      <c r="A91" s="1"/>
      <c r="B91" s="160"/>
      <c r="C91" s="133"/>
      <c r="D91" s="160"/>
      <c r="E91" s="1199"/>
      <c r="F91" s="548">
        <v>2</v>
      </c>
      <c r="G91" s="535" t="s">
        <v>576</v>
      </c>
      <c r="H91" s="534"/>
      <c r="I91" s="534"/>
      <c r="J91" s="534"/>
      <c r="K91" s="534"/>
      <c r="L91" s="534"/>
      <c r="M91" s="538"/>
      <c r="N91" s="51"/>
      <c r="O91" s="144"/>
      <c r="P91" s="144"/>
      <c r="Q91" s="144"/>
    </row>
    <row r="92" spans="1:25" ht="16.5" customHeight="1" thickBot="1">
      <c r="A92" s="1"/>
      <c r="B92" s="160"/>
      <c r="C92" s="133"/>
      <c r="D92" s="160"/>
      <c r="E92" s="1200"/>
      <c r="F92" s="550">
        <v>3</v>
      </c>
      <c r="G92" s="544" t="s">
        <v>577</v>
      </c>
      <c r="H92" s="528"/>
      <c r="I92" s="528"/>
      <c r="J92" s="528"/>
      <c r="K92" s="528"/>
      <c r="L92" s="528"/>
      <c r="M92" s="527"/>
      <c r="N92" s="51"/>
      <c r="O92" s="144"/>
      <c r="P92" s="144"/>
      <c r="Q92" s="144"/>
    </row>
    <row r="93" spans="1:25" ht="16.5" customHeight="1">
      <c r="A93" s="1"/>
      <c r="B93" s="1031"/>
      <c r="C93" s="133"/>
      <c r="D93" s="1031"/>
      <c r="E93" s="596" t="s">
        <v>247</v>
      </c>
      <c r="F93" s="1020">
        <f>COUNTIF(E90:E92,"○")</f>
        <v>1</v>
      </c>
      <c r="G93" s="1032"/>
      <c r="H93" s="1032"/>
      <c r="I93" s="139"/>
      <c r="J93" s="139"/>
      <c r="K93" s="139"/>
      <c r="L93" s="139"/>
      <c r="M93" s="508"/>
      <c r="N93" s="51"/>
      <c r="O93" s="144"/>
      <c r="P93" s="144"/>
    </row>
    <row r="94" spans="1:25" s="144" customFormat="1" ht="8.25" customHeight="1">
      <c r="A94" s="51"/>
      <c r="B94" s="164"/>
      <c r="C94" s="607"/>
      <c r="D94" s="309"/>
      <c r="E94" s="309"/>
      <c r="F94" s="1"/>
      <c r="G94" s="1"/>
      <c r="H94" s="1"/>
      <c r="I94" s="1"/>
      <c r="J94" s="1"/>
      <c r="K94" s="1"/>
      <c r="L94" s="1"/>
      <c r="M94" s="1"/>
      <c r="N94" s="150"/>
      <c r="P94" s="584" t="s">
        <v>60</v>
      </c>
      <c r="Q94" s="324" t="s">
        <v>82</v>
      </c>
      <c r="R94" s="4"/>
      <c r="S94" s="4"/>
      <c r="T94" s="132"/>
    </row>
    <row r="95" spans="1:25" s="144" customFormat="1" ht="21" customHeight="1">
      <c r="A95" s="51"/>
      <c r="B95" s="164"/>
      <c r="C95" s="607"/>
      <c r="E95" s="781" t="s">
        <v>3</v>
      </c>
      <c r="F95" s="782"/>
      <c r="G95" s="1201"/>
      <c r="H95" s="1201"/>
      <c r="I95" s="2388"/>
      <c r="J95" s="2389"/>
      <c r="K95" s="2389"/>
      <c r="L95" s="2389"/>
      <c r="M95" s="2390"/>
      <c r="N95" s="150"/>
      <c r="P95" s="615"/>
      <c r="Q95" s="324"/>
      <c r="R95" s="4"/>
      <c r="S95" s="4"/>
      <c r="T95" s="132"/>
      <c r="U95" s="615"/>
      <c r="V95" s="132"/>
      <c r="W95" s="132"/>
      <c r="X95" s="132"/>
      <c r="Y95" s="132"/>
    </row>
    <row r="96" spans="1:25" ht="14.25" customHeight="1">
      <c r="A96" s="5"/>
      <c r="B96" s="160"/>
      <c r="C96" s="160"/>
      <c r="D96" s="160"/>
      <c r="E96" s="160"/>
      <c r="F96" s="160"/>
      <c r="G96" s="160"/>
      <c r="H96" s="160"/>
      <c r="I96" s="160"/>
      <c r="J96" s="160"/>
      <c r="K96" s="160"/>
      <c r="L96" s="51"/>
      <c r="M96" s="51"/>
      <c r="N96" s="51"/>
      <c r="O96" s="144"/>
      <c r="P96" s="144"/>
    </row>
    <row r="97" spans="1:25" s="327" customFormat="1" ht="14.25" customHeight="1">
      <c r="A97" s="22"/>
      <c r="B97" s="1061">
        <v>2.2000000000000002</v>
      </c>
      <c r="C97" s="147" t="s">
        <v>504</v>
      </c>
      <c r="D97" s="150"/>
      <c r="E97" s="310"/>
      <c r="F97" s="150"/>
      <c r="G97" s="150"/>
      <c r="H97" s="150"/>
      <c r="I97" s="150"/>
      <c r="J97" s="310"/>
      <c r="K97" s="150"/>
      <c r="L97" s="150"/>
      <c r="M97" s="150"/>
      <c r="N97" s="302"/>
      <c r="O97" s="144"/>
      <c r="Q97" s="4"/>
      <c r="R97" s="4"/>
      <c r="S97" s="4"/>
    </row>
    <row r="98" spans="1:25" ht="16.5" customHeight="1" thickBot="1">
      <c r="A98" s="1"/>
      <c r="B98" s="36"/>
      <c r="C98" s="36"/>
      <c r="D98" s="135"/>
      <c r="E98" s="302"/>
      <c r="F98" s="302"/>
      <c r="G98" s="302"/>
      <c r="H98" s="302"/>
      <c r="I98" s="150"/>
      <c r="J98" s="414"/>
      <c r="K98" s="150"/>
      <c r="L98" s="176" t="s">
        <v>2</v>
      </c>
      <c r="M98" s="173">
        <f>重み!M58</f>
        <v>0.25</v>
      </c>
      <c r="N98" s="133"/>
      <c r="O98" s="324">
        <f t="shared" ref="O98:U98" si="3">C98</f>
        <v>0</v>
      </c>
      <c r="P98" s="324">
        <f t="shared" si="3"/>
        <v>0</v>
      </c>
      <c r="Q98" s="324">
        <f t="shared" si="3"/>
        <v>0</v>
      </c>
      <c r="R98" s="324">
        <f t="shared" si="3"/>
        <v>0</v>
      </c>
      <c r="S98" s="324">
        <f t="shared" si="3"/>
        <v>0</v>
      </c>
      <c r="T98" s="324">
        <f t="shared" si="3"/>
        <v>0</v>
      </c>
      <c r="U98" s="324">
        <f t="shared" si="3"/>
        <v>0</v>
      </c>
      <c r="V98" s="324">
        <f>J98</f>
        <v>0</v>
      </c>
      <c r="W98" s="324">
        <f>K98</f>
        <v>0</v>
      </c>
      <c r="X98" s="324" t="str">
        <f>L98</f>
        <v>重み係数＝</v>
      </c>
      <c r="Y98" s="324">
        <f>M98</f>
        <v>0.25</v>
      </c>
    </row>
    <row r="99" spans="1:25" ht="16.5" customHeight="1" thickBot="1">
      <c r="A99" s="1"/>
      <c r="B99" s="36"/>
      <c r="C99" s="36"/>
      <c r="D99" s="1050">
        <v>3</v>
      </c>
      <c r="E99" s="2391" t="s">
        <v>391</v>
      </c>
      <c r="F99" s="2392"/>
      <c r="G99" s="2392"/>
      <c r="H99" s="2392"/>
      <c r="I99" s="2392"/>
      <c r="J99" s="2392"/>
      <c r="K99" s="2392"/>
      <c r="L99" s="2392"/>
      <c r="M99" s="2393"/>
      <c r="N99" s="133"/>
      <c r="O99" s="144"/>
    </row>
    <row r="100" spans="1:25" ht="16.5" customHeight="1">
      <c r="A100" s="1"/>
      <c r="B100" s="36"/>
      <c r="C100" s="36"/>
      <c r="D100" s="32" t="str">
        <f>IF(D99=$Q$14,$R$9,IF(ROUNDDOWN(D99,0)=$Q$9,$S$9,$R$9))</f>
        <v>　レベル　1</v>
      </c>
      <c r="E100" s="522" t="s">
        <v>383</v>
      </c>
      <c r="F100" s="580"/>
      <c r="G100" s="580"/>
      <c r="H100" s="580"/>
      <c r="I100" s="580"/>
      <c r="J100" s="580"/>
      <c r="K100" s="580"/>
      <c r="L100" s="580"/>
      <c r="M100" s="581"/>
      <c r="N100" s="133"/>
      <c r="O100" s="144"/>
      <c r="P100" s="584" t="s">
        <v>60</v>
      </c>
      <c r="U100" s="584">
        <f>$Q$9</f>
        <v>1</v>
      </c>
    </row>
    <row r="101" spans="1:25" ht="16.5" customHeight="1">
      <c r="A101" s="1"/>
      <c r="B101" s="36"/>
      <c r="C101" s="36"/>
      <c r="D101" s="35" t="str">
        <f>IF(D99=$Q$14,$R$10,IF(ROUNDDOWN(D99,0)=$Q$10,$S$10,$R$10))</f>
        <v>　レベル　2</v>
      </c>
      <c r="E101" s="523" t="s">
        <v>383</v>
      </c>
      <c r="F101" s="582"/>
      <c r="G101" s="582"/>
      <c r="H101" s="582"/>
      <c r="I101" s="582"/>
      <c r="J101" s="582"/>
      <c r="K101" s="582"/>
      <c r="L101" s="582"/>
      <c r="M101" s="583"/>
      <c r="N101" s="133"/>
      <c r="O101" s="144"/>
      <c r="P101" s="584" t="s">
        <v>60</v>
      </c>
      <c r="U101" s="584">
        <f>$Q$10</f>
        <v>2</v>
      </c>
    </row>
    <row r="102" spans="1:25" ht="16.5" customHeight="1">
      <c r="A102" s="1"/>
      <c r="B102" s="36"/>
      <c r="C102" s="36"/>
      <c r="D102" s="35" t="str">
        <f>IF(D99=$Q$14,$R$11,IF(ROUNDDOWN(D99,0)=$Q$11,$S$11,$R$11))</f>
        <v>■レベル　3</v>
      </c>
      <c r="E102" s="523" t="s">
        <v>11</v>
      </c>
      <c r="F102" s="582"/>
      <c r="G102" s="582"/>
      <c r="H102" s="582"/>
      <c r="I102" s="582"/>
      <c r="J102" s="582"/>
      <c r="K102" s="582"/>
      <c r="L102" s="582"/>
      <c r="M102" s="583"/>
      <c r="N102" s="133"/>
      <c r="O102" s="144"/>
      <c r="P102" s="584">
        <f>$Q$11</f>
        <v>3</v>
      </c>
      <c r="U102" s="584">
        <f>$Q$11</f>
        <v>3</v>
      </c>
    </row>
    <row r="103" spans="1:25" ht="16.5" customHeight="1">
      <c r="A103" s="1"/>
      <c r="B103" s="36"/>
      <c r="C103" s="36"/>
      <c r="D103" s="35" t="str">
        <f>IF(D99=$Q$14,$R$12,IF(ROUNDDOWN(D99,0)=$Q$12,$S$12,$R$12))</f>
        <v>　レベル　4</v>
      </c>
      <c r="E103" s="535" t="s">
        <v>705</v>
      </c>
      <c r="F103" s="585"/>
      <c r="G103" s="585"/>
      <c r="H103" s="585"/>
      <c r="I103" s="585"/>
      <c r="J103" s="585"/>
      <c r="K103" s="585"/>
      <c r="L103" s="585"/>
      <c r="M103" s="586"/>
      <c r="N103" s="133"/>
      <c r="O103" s="144"/>
      <c r="P103" s="584">
        <f>$Q$12</f>
        <v>4</v>
      </c>
      <c r="U103" s="584">
        <f>$Q$12</f>
        <v>4</v>
      </c>
    </row>
    <row r="104" spans="1:25" ht="16.5" customHeight="1">
      <c r="A104" s="1"/>
      <c r="B104" s="36"/>
      <c r="C104" s="36"/>
      <c r="D104" s="33" t="str">
        <f>IF(D99=$Q$14,$R$13,IF(ROUNDDOWN(D99,0)=$Q$13,$S$13,$R$13))</f>
        <v>　レベル　5</v>
      </c>
      <c r="E104" s="561" t="s">
        <v>578</v>
      </c>
      <c r="F104" s="587"/>
      <c r="G104" s="587"/>
      <c r="H104" s="587"/>
      <c r="I104" s="587"/>
      <c r="J104" s="587"/>
      <c r="K104" s="587"/>
      <c r="L104" s="587"/>
      <c r="M104" s="588"/>
      <c r="N104" s="133"/>
      <c r="O104" s="144"/>
      <c r="P104" s="584">
        <f>$Q$13</f>
        <v>5</v>
      </c>
      <c r="Q104" s="327"/>
      <c r="R104" s="327"/>
      <c r="S104" s="327"/>
      <c r="U104" s="584">
        <f>$Q$13</f>
        <v>5</v>
      </c>
    </row>
    <row r="105" spans="1:25" s="144" customFormat="1" ht="8.25" customHeight="1">
      <c r="A105" s="51"/>
      <c r="B105" s="164"/>
      <c r="C105" s="607"/>
      <c r="D105" s="309"/>
      <c r="E105" s="309"/>
      <c r="F105" s="1"/>
      <c r="G105" s="1"/>
      <c r="H105" s="1"/>
      <c r="I105" s="1"/>
      <c r="J105" s="1"/>
      <c r="K105" s="1"/>
      <c r="L105" s="1"/>
      <c r="M105" s="1"/>
      <c r="N105" s="150"/>
      <c r="P105" s="584" t="s">
        <v>60</v>
      </c>
      <c r="Q105" s="324" t="s">
        <v>82</v>
      </c>
      <c r="R105" s="4"/>
      <c r="S105" s="4"/>
      <c r="T105" s="132"/>
    </row>
    <row r="106" spans="1:25" s="144" customFormat="1" ht="21" customHeight="1">
      <c r="A106" s="51"/>
      <c r="B106" s="164"/>
      <c r="C106" s="607"/>
      <c r="E106" s="781" t="s">
        <v>3</v>
      </c>
      <c r="F106" s="782"/>
      <c r="G106" s="1201"/>
      <c r="H106" s="1201"/>
      <c r="I106" s="2388"/>
      <c r="J106" s="2389"/>
      <c r="K106" s="2389"/>
      <c r="L106" s="2389"/>
      <c r="M106" s="2390"/>
      <c r="N106" s="150"/>
      <c r="P106" s="615"/>
      <c r="Q106" s="324"/>
      <c r="R106" s="4"/>
      <c r="S106" s="4"/>
      <c r="T106" s="132"/>
      <c r="U106" s="615"/>
      <c r="V106" s="132"/>
      <c r="W106" s="132"/>
      <c r="X106" s="132"/>
      <c r="Y106" s="132"/>
    </row>
    <row r="107" spans="1:25" ht="14.25" customHeight="1">
      <c r="A107" s="1"/>
      <c r="B107" s="160"/>
      <c r="C107" s="160"/>
      <c r="D107" s="160"/>
      <c r="E107" s="160"/>
      <c r="F107" s="160"/>
      <c r="G107" s="160"/>
      <c r="H107" s="160"/>
      <c r="I107" s="160"/>
      <c r="J107" s="160"/>
      <c r="K107" s="160"/>
      <c r="L107" s="160"/>
      <c r="M107" s="160"/>
      <c r="N107" s="160"/>
      <c r="O107" s="144"/>
      <c r="P107" s="615"/>
      <c r="Q107" s="327"/>
      <c r="R107" s="327"/>
      <c r="S107" s="327"/>
      <c r="U107" s="615"/>
    </row>
    <row r="108" spans="1:25" s="327" customFormat="1" ht="14.25" customHeight="1">
      <c r="A108" s="22"/>
      <c r="B108" s="307">
        <v>3</v>
      </c>
      <c r="C108" s="147" t="s">
        <v>506</v>
      </c>
      <c r="D108" s="150"/>
      <c r="E108" s="150"/>
      <c r="F108" s="150"/>
      <c r="G108" s="150"/>
      <c r="H108" s="150"/>
      <c r="I108" s="150"/>
      <c r="J108" s="150"/>
      <c r="K108" s="150"/>
      <c r="L108" s="150"/>
      <c r="M108" s="150"/>
      <c r="N108" s="302"/>
      <c r="Q108" s="4"/>
      <c r="R108" s="4"/>
      <c r="S108" s="4"/>
    </row>
    <row r="109" spans="1:25" s="327" customFormat="1" ht="14.25" customHeight="1">
      <c r="A109" s="22"/>
      <c r="B109" s="1061">
        <v>3.1</v>
      </c>
      <c r="C109" s="147" t="s">
        <v>452</v>
      </c>
      <c r="D109" s="150"/>
      <c r="E109" s="310"/>
      <c r="F109" s="150"/>
      <c r="G109" s="150"/>
      <c r="H109" s="150"/>
      <c r="I109" s="150"/>
      <c r="J109" s="310"/>
      <c r="K109" s="150"/>
      <c r="L109" s="150"/>
      <c r="M109" s="150"/>
      <c r="N109" s="302"/>
      <c r="Q109" s="4"/>
      <c r="R109" s="4"/>
      <c r="S109" s="4"/>
    </row>
    <row r="110" spans="1:25" ht="16.5" customHeight="1" thickBot="1">
      <c r="A110" s="1"/>
      <c r="B110" s="36"/>
      <c r="C110" s="36"/>
      <c r="D110" s="135"/>
      <c r="E110" s="302"/>
      <c r="F110" s="302"/>
      <c r="G110" s="302"/>
      <c r="H110" s="302"/>
      <c r="I110" s="150"/>
      <c r="J110" s="414"/>
      <c r="K110" s="150"/>
      <c r="L110" s="176" t="s">
        <v>2</v>
      </c>
      <c r="M110" s="173">
        <f>重み!M60</f>
        <v>0.5</v>
      </c>
      <c r="N110" s="133"/>
      <c r="O110" s="324">
        <f t="shared" ref="O110:U110" si="4">C110</f>
        <v>0</v>
      </c>
      <c r="P110" s="324">
        <f t="shared" si="4"/>
        <v>0</v>
      </c>
      <c r="Q110" s="324">
        <f t="shared" si="4"/>
        <v>0</v>
      </c>
      <c r="R110" s="324">
        <f t="shared" si="4"/>
        <v>0</v>
      </c>
      <c r="S110" s="324">
        <f t="shared" si="4"/>
        <v>0</v>
      </c>
      <c r="T110" s="324">
        <f t="shared" si="4"/>
        <v>0</v>
      </c>
      <c r="U110" s="324">
        <f t="shared" si="4"/>
        <v>0</v>
      </c>
      <c r="V110" s="324">
        <f>J110</f>
        <v>0</v>
      </c>
      <c r="W110" s="324">
        <f>K110</f>
        <v>0</v>
      </c>
      <c r="X110" s="324" t="str">
        <f>L110</f>
        <v>重み係数＝</v>
      </c>
      <c r="Y110" s="324">
        <f>M110</f>
        <v>0.5</v>
      </c>
    </row>
    <row r="111" spans="1:25" ht="16.5" customHeight="1" thickBot="1">
      <c r="A111" s="1"/>
      <c r="B111" s="36"/>
      <c r="C111" s="36"/>
      <c r="D111" s="1050">
        <v>3</v>
      </c>
      <c r="E111" s="2391" t="s">
        <v>391</v>
      </c>
      <c r="F111" s="2392"/>
      <c r="G111" s="2392"/>
      <c r="H111" s="2392"/>
      <c r="I111" s="2392"/>
      <c r="J111" s="2392"/>
      <c r="K111" s="2392"/>
      <c r="L111" s="2392"/>
      <c r="M111" s="2393"/>
      <c r="N111" s="133"/>
      <c r="O111" s="327"/>
    </row>
    <row r="112" spans="1:25" ht="16.5" customHeight="1">
      <c r="A112" s="1"/>
      <c r="B112" s="36"/>
      <c r="C112" s="36"/>
      <c r="D112" s="32" t="str">
        <f>IF(D111=$Q$14,$R$9,IF(ROUNDDOWN(D111,0)=$Q$9,$S$9,$R$9))</f>
        <v>　レベル　1</v>
      </c>
      <c r="E112" s="522" t="s">
        <v>11</v>
      </c>
      <c r="F112" s="580"/>
      <c r="G112" s="580"/>
      <c r="H112" s="580"/>
      <c r="I112" s="580"/>
      <c r="J112" s="580"/>
      <c r="K112" s="580"/>
      <c r="L112" s="580"/>
      <c r="M112" s="581"/>
      <c r="N112" s="133"/>
      <c r="O112" s="327"/>
      <c r="P112" s="584">
        <f>$Q$9</f>
        <v>1</v>
      </c>
      <c r="U112" s="584">
        <f>$Q$9</f>
        <v>1</v>
      </c>
    </row>
    <row r="113" spans="1:25" ht="16.5" customHeight="1">
      <c r="A113" s="1"/>
      <c r="B113" s="36"/>
      <c r="C113" s="36"/>
      <c r="D113" s="35" t="str">
        <f>IF(D111=$Q$14,$R$10,IF(ROUNDDOWN(D111,0)=$Q$10,$S$10,$R$10))</f>
        <v>　レベル　2</v>
      </c>
      <c r="E113" s="523" t="s">
        <v>383</v>
      </c>
      <c r="F113" s="582"/>
      <c r="G113" s="582"/>
      <c r="H113" s="582"/>
      <c r="I113" s="582"/>
      <c r="J113" s="582"/>
      <c r="K113" s="582"/>
      <c r="L113" s="582"/>
      <c r="M113" s="583"/>
      <c r="N113" s="133"/>
      <c r="O113" s="327"/>
      <c r="P113" s="584" t="s">
        <v>60</v>
      </c>
      <c r="U113" s="584">
        <f>$Q$10</f>
        <v>2</v>
      </c>
    </row>
    <row r="114" spans="1:25" ht="16.5" customHeight="1">
      <c r="A114" s="1"/>
      <c r="B114" s="36"/>
      <c r="C114" s="36"/>
      <c r="D114" s="35" t="str">
        <f>IF(D111=$Q$14,$R$11,IF(ROUNDDOWN(D111,0)=$Q$11,$S$11,$R$11))</f>
        <v>■レベル　3</v>
      </c>
      <c r="E114" s="523" t="s">
        <v>706</v>
      </c>
      <c r="F114" s="582"/>
      <c r="G114" s="582"/>
      <c r="H114" s="582"/>
      <c r="I114" s="582"/>
      <c r="J114" s="582"/>
      <c r="K114" s="582"/>
      <c r="L114" s="582"/>
      <c r="M114" s="583"/>
      <c r="N114" s="133"/>
      <c r="O114" s="327"/>
      <c r="P114" s="584">
        <f>$Q$11</f>
        <v>3</v>
      </c>
      <c r="U114" s="584">
        <f>$Q$11</f>
        <v>3</v>
      </c>
    </row>
    <row r="115" spans="1:25" ht="16.5" customHeight="1">
      <c r="A115" s="1"/>
      <c r="B115" s="36"/>
      <c r="C115" s="36"/>
      <c r="D115" s="35" t="str">
        <f>IF(D111=$Q$14,$R$12,IF(ROUNDDOWN(D111,0)=$Q$12,$S$12,$R$12))</f>
        <v>　レベル　4</v>
      </c>
      <c r="E115" s="535" t="s">
        <v>1170</v>
      </c>
      <c r="F115" s="585"/>
      <c r="G115" s="585"/>
      <c r="H115" s="585"/>
      <c r="I115" s="585"/>
      <c r="J115" s="585"/>
      <c r="K115" s="585"/>
      <c r="L115" s="585"/>
      <c r="M115" s="586"/>
      <c r="N115" s="133"/>
      <c r="O115" s="327"/>
      <c r="P115" s="584">
        <f>$Q$12</f>
        <v>4</v>
      </c>
      <c r="U115" s="584">
        <f>$Q$12</f>
        <v>4</v>
      </c>
    </row>
    <row r="116" spans="1:25" ht="16.5" customHeight="1">
      <c r="A116" s="1"/>
      <c r="B116" s="36"/>
      <c r="C116" s="36"/>
      <c r="D116" s="2471" t="str">
        <f>IF(D111=$Q$14,$R$13,IF(ROUNDDOWN(D111,0)=$Q$13,$S$13,$R$13))</f>
        <v>　レベル　5</v>
      </c>
      <c r="E116" s="535" t="s">
        <v>1171</v>
      </c>
      <c r="F116" s="585"/>
      <c r="G116" s="585"/>
      <c r="H116" s="585"/>
      <c r="I116" s="585"/>
      <c r="J116" s="585"/>
      <c r="K116" s="585"/>
      <c r="L116" s="585"/>
      <c r="M116" s="586"/>
      <c r="N116" s="133"/>
      <c r="O116" s="327"/>
      <c r="P116" s="584">
        <f>$Q$13</f>
        <v>5</v>
      </c>
      <c r="U116" s="584">
        <f>$Q$13</f>
        <v>5</v>
      </c>
    </row>
    <row r="117" spans="1:25" s="37" customFormat="1" ht="16.5" customHeight="1">
      <c r="A117" s="26"/>
      <c r="B117" s="36"/>
      <c r="C117" s="36"/>
      <c r="D117" s="2472"/>
      <c r="E117" s="2414" t="s">
        <v>1076</v>
      </c>
      <c r="F117" s="2451"/>
      <c r="G117" s="2451"/>
      <c r="H117" s="2451"/>
      <c r="I117" s="2451"/>
      <c r="J117" s="2451"/>
      <c r="K117" s="2451"/>
      <c r="L117" s="2451"/>
      <c r="M117" s="2452"/>
      <c r="N117" s="51"/>
      <c r="O117" s="552"/>
      <c r="P117" s="584" t="s">
        <v>60</v>
      </c>
      <c r="Q117" s="324" t="s">
        <v>82</v>
      </c>
      <c r="U117" s="1861"/>
    </row>
    <row r="118" spans="1:25" s="144" customFormat="1" ht="8.25" customHeight="1">
      <c r="A118" s="51"/>
      <c r="B118" s="164"/>
      <c r="C118" s="607"/>
      <c r="D118" s="309"/>
      <c r="E118" s="309"/>
      <c r="F118" s="1"/>
      <c r="G118" s="1"/>
      <c r="H118" s="1"/>
      <c r="I118" s="1"/>
      <c r="J118" s="1"/>
      <c r="K118" s="1"/>
      <c r="L118" s="1"/>
      <c r="M118" s="1"/>
      <c r="N118" s="150"/>
      <c r="R118" s="4"/>
      <c r="S118" s="4"/>
      <c r="T118" s="132"/>
    </row>
    <row r="119" spans="1:25" s="144" customFormat="1" ht="21" customHeight="1">
      <c r="A119" s="51"/>
      <c r="B119" s="164"/>
      <c r="C119" s="607"/>
      <c r="E119" s="781" t="s">
        <v>3</v>
      </c>
      <c r="F119" s="782"/>
      <c r="G119" s="1201"/>
      <c r="H119" s="1201"/>
      <c r="I119" s="2388"/>
      <c r="J119" s="2389"/>
      <c r="K119" s="2389"/>
      <c r="L119" s="2389"/>
      <c r="M119" s="2390"/>
      <c r="N119" s="150"/>
      <c r="P119" s="615"/>
      <c r="Q119" s="324"/>
      <c r="R119" s="4"/>
      <c r="S119" s="4"/>
      <c r="T119" s="132"/>
      <c r="U119" s="615"/>
      <c r="V119" s="132"/>
      <c r="W119" s="132"/>
      <c r="X119" s="132"/>
      <c r="Y119" s="132"/>
    </row>
    <row r="120" spans="1:25">
      <c r="A120" s="1"/>
      <c r="B120" s="160"/>
      <c r="C120" s="160"/>
      <c r="D120" s="160"/>
      <c r="E120" s="160"/>
      <c r="F120" s="160"/>
      <c r="G120" s="160"/>
      <c r="H120" s="160"/>
      <c r="I120" s="160"/>
      <c r="J120" s="160"/>
      <c r="K120" s="160"/>
      <c r="L120" s="160"/>
      <c r="M120" s="160"/>
      <c r="N120" s="133"/>
      <c r="O120" s="327"/>
      <c r="P120" s="615"/>
      <c r="Q120" s="327"/>
      <c r="R120" s="327"/>
      <c r="S120" s="327"/>
      <c r="U120" s="615"/>
    </row>
    <row r="121" spans="1:25" ht="15.75">
      <c r="A121" s="1"/>
      <c r="B121" s="1061">
        <v>3.2</v>
      </c>
      <c r="C121" s="147" t="s">
        <v>505</v>
      </c>
      <c r="D121" s="147"/>
      <c r="E121" s="302"/>
      <c r="F121" s="156"/>
      <c r="G121" s="156"/>
      <c r="H121" s="157"/>
      <c r="I121" s="157"/>
      <c r="J121" s="157"/>
      <c r="K121" s="52"/>
      <c r="L121" s="52"/>
      <c r="M121" s="52"/>
      <c r="N121" s="133"/>
      <c r="O121" s="327"/>
    </row>
    <row r="122" spans="1:25" s="327" customFormat="1" ht="16.5" customHeight="1" thickBot="1">
      <c r="A122" s="22"/>
      <c r="B122" s="22"/>
      <c r="C122" s="22"/>
      <c r="D122" s="135"/>
      <c r="E122" s="302"/>
      <c r="F122" s="302"/>
      <c r="G122" s="302"/>
      <c r="H122" s="302"/>
      <c r="I122" s="150"/>
      <c r="J122" s="414"/>
      <c r="K122" s="150"/>
      <c r="L122" s="176" t="s">
        <v>2</v>
      </c>
      <c r="M122" s="173">
        <f>重み!M61</f>
        <v>0.5</v>
      </c>
      <c r="N122" s="302"/>
      <c r="O122" s="324">
        <f t="shared" ref="O122:U122" si="5">C122</f>
        <v>0</v>
      </c>
      <c r="P122" s="324">
        <f t="shared" si="5"/>
        <v>0</v>
      </c>
      <c r="Q122" s="324">
        <f t="shared" si="5"/>
        <v>0</v>
      </c>
      <c r="R122" s="324">
        <f t="shared" si="5"/>
        <v>0</v>
      </c>
      <c r="S122" s="324">
        <f t="shared" si="5"/>
        <v>0</v>
      </c>
      <c r="T122" s="324">
        <f t="shared" si="5"/>
        <v>0</v>
      </c>
      <c r="U122" s="324">
        <f t="shared" si="5"/>
        <v>0</v>
      </c>
      <c r="V122" s="324">
        <f>J122</f>
        <v>0</v>
      </c>
      <c r="W122" s="324">
        <f>K122</f>
        <v>0</v>
      </c>
      <c r="X122" s="324" t="str">
        <f>L122</f>
        <v>重み係数＝</v>
      </c>
      <c r="Y122" s="324">
        <f>M122</f>
        <v>0.5</v>
      </c>
    </row>
    <row r="123" spans="1:25" ht="16.5" customHeight="1" thickBot="1">
      <c r="A123" s="1"/>
      <c r="B123" s="164"/>
      <c r="C123" s="133"/>
      <c r="D123" s="1050">
        <v>3</v>
      </c>
      <c r="E123" s="2391" t="s">
        <v>391</v>
      </c>
      <c r="F123" s="2392"/>
      <c r="G123" s="2392"/>
      <c r="H123" s="2392"/>
      <c r="I123" s="2392"/>
      <c r="J123" s="2392"/>
      <c r="K123" s="2392"/>
      <c r="L123" s="2392"/>
      <c r="M123" s="2393"/>
      <c r="N123" s="133"/>
    </row>
    <row r="124" spans="1:25" ht="16.5" customHeight="1">
      <c r="A124" s="1"/>
      <c r="B124" s="164"/>
      <c r="C124" s="133"/>
      <c r="D124" s="32" t="str">
        <f>IF(D123=$Q$14,$R$9,IF(ROUNDDOWN(D123,0)=$Q$9,$S$9,$R$9))</f>
        <v>　レベル　1</v>
      </c>
      <c r="E124" s="522" t="s">
        <v>383</v>
      </c>
      <c r="F124" s="580"/>
      <c r="G124" s="580"/>
      <c r="H124" s="580"/>
      <c r="I124" s="580"/>
      <c r="J124" s="580"/>
      <c r="K124" s="580"/>
      <c r="L124" s="580"/>
      <c r="M124" s="581"/>
      <c r="N124" s="133"/>
      <c r="P124" s="584" t="s">
        <v>786</v>
      </c>
      <c r="U124" s="584">
        <f>$Q$9</f>
        <v>1</v>
      </c>
    </row>
    <row r="125" spans="1:25" ht="16.5" customHeight="1">
      <c r="A125" s="1"/>
      <c r="B125" s="164"/>
      <c r="C125" s="133"/>
      <c r="D125" s="35" t="str">
        <f>IF(D123=$Q$14,$R$10,IF(ROUNDDOWN(D123,0)=$Q$10,$S$10,$R$10))</f>
        <v>　レベル　2</v>
      </c>
      <c r="E125" s="523" t="s">
        <v>383</v>
      </c>
      <c r="F125" s="582"/>
      <c r="G125" s="582"/>
      <c r="H125" s="582"/>
      <c r="I125" s="582"/>
      <c r="J125" s="582"/>
      <c r="K125" s="582"/>
      <c r="L125" s="582"/>
      <c r="M125" s="583"/>
      <c r="N125" s="133"/>
      <c r="P125" s="584" t="s">
        <v>787</v>
      </c>
      <c r="U125" s="584">
        <f>$Q$10</f>
        <v>2</v>
      </c>
    </row>
    <row r="126" spans="1:25" ht="16.5" customHeight="1">
      <c r="A126" s="1"/>
      <c r="B126" s="164"/>
      <c r="C126" s="133"/>
      <c r="D126" s="35" t="str">
        <f>IF(D123=$Q$14,$R$11,IF(ROUNDDOWN(D123,0)=$Q$11,$S$11,$R$11))</f>
        <v>■レベル　3</v>
      </c>
      <c r="E126" s="523" t="s">
        <v>11</v>
      </c>
      <c r="F126" s="582"/>
      <c r="G126" s="582"/>
      <c r="H126" s="582"/>
      <c r="I126" s="582"/>
      <c r="J126" s="582"/>
      <c r="K126" s="582"/>
      <c r="L126" s="582"/>
      <c r="M126" s="583"/>
      <c r="N126" s="133"/>
      <c r="P126" s="584">
        <f>$Q$11</f>
        <v>3</v>
      </c>
      <c r="U126" s="584">
        <f>$Q$11</f>
        <v>3</v>
      </c>
    </row>
    <row r="127" spans="1:25" ht="16.5" customHeight="1">
      <c r="A127" s="1"/>
      <c r="B127" s="164"/>
      <c r="C127" s="133"/>
      <c r="D127" s="35" t="str">
        <f>IF(D123=$Q$14,$R$12,IF(ROUNDDOWN(D123,0)=$Q$12,$S$12,$R$12))</f>
        <v>　レベル　4</v>
      </c>
      <c r="E127" s="535" t="s">
        <v>1172</v>
      </c>
      <c r="F127" s="585"/>
      <c r="G127" s="585"/>
      <c r="H127" s="585"/>
      <c r="I127" s="585"/>
      <c r="J127" s="585"/>
      <c r="K127" s="585"/>
      <c r="L127" s="585"/>
      <c r="M127" s="586"/>
      <c r="N127" s="133"/>
      <c r="P127" s="584">
        <f>$Q$12</f>
        <v>4</v>
      </c>
      <c r="Q127" s="598"/>
      <c r="R127" s="598"/>
      <c r="S127" s="598"/>
      <c r="U127" s="584">
        <f>$Q$12</f>
        <v>4</v>
      </c>
    </row>
    <row r="128" spans="1:25" ht="16.5" customHeight="1">
      <c r="A128" s="1"/>
      <c r="B128" s="164"/>
      <c r="C128" s="133"/>
      <c r="D128" s="33" t="str">
        <f>IF(D123=$Q$14,$R$13,IF(ROUNDDOWN(D123,0)=$Q$13,$S$13,$R$13))</f>
        <v>　レベル　5</v>
      </c>
      <c r="E128" s="561" t="s">
        <v>1173</v>
      </c>
      <c r="F128" s="587"/>
      <c r="G128" s="587"/>
      <c r="H128" s="587"/>
      <c r="I128" s="587"/>
      <c r="J128" s="587"/>
      <c r="K128" s="587"/>
      <c r="L128" s="587"/>
      <c r="M128" s="588"/>
      <c r="N128" s="133"/>
      <c r="P128" s="584">
        <f>$Q$13</f>
        <v>5</v>
      </c>
      <c r="U128" s="584">
        <f>$Q$13</f>
        <v>5</v>
      </c>
    </row>
    <row r="129" spans="1:25" s="144" customFormat="1" ht="8.25" customHeight="1">
      <c r="A129" s="51"/>
      <c r="B129" s="164"/>
      <c r="C129" s="607"/>
      <c r="D129" s="309"/>
      <c r="E129" s="309"/>
      <c r="F129" s="1"/>
      <c r="G129" s="1"/>
      <c r="H129" s="1"/>
      <c r="I129" s="1"/>
      <c r="J129" s="1"/>
      <c r="K129" s="1"/>
      <c r="L129" s="1"/>
      <c r="M129" s="1"/>
      <c r="N129" s="150"/>
      <c r="P129" s="584" t="s">
        <v>60</v>
      </c>
      <c r="Q129" s="324" t="s">
        <v>82</v>
      </c>
      <c r="R129" s="4"/>
      <c r="S129" s="4"/>
      <c r="T129" s="132"/>
    </row>
    <row r="130" spans="1:25" s="144" customFormat="1" ht="21" customHeight="1">
      <c r="A130" s="51"/>
      <c r="B130" s="164"/>
      <c r="C130" s="607"/>
      <c r="E130" s="781" t="s">
        <v>3</v>
      </c>
      <c r="F130" s="782"/>
      <c r="G130" s="1201"/>
      <c r="H130" s="1201"/>
      <c r="I130" s="2388"/>
      <c r="J130" s="2389"/>
      <c r="K130" s="2389"/>
      <c r="L130" s="2389"/>
      <c r="M130" s="2390"/>
      <c r="N130" s="150"/>
      <c r="P130" s="615"/>
      <c r="Q130" s="324"/>
      <c r="R130" s="4"/>
      <c r="S130" s="4"/>
      <c r="T130" s="132"/>
      <c r="U130" s="615"/>
      <c r="V130" s="132"/>
      <c r="W130" s="132"/>
      <c r="X130" s="132"/>
      <c r="Y130" s="132"/>
    </row>
    <row r="131" spans="1:25" ht="14.25" customHeight="1"/>
    <row r="132" spans="1:25" ht="14.25" hidden="1" customHeight="1"/>
    <row r="133" spans="1:25" ht="14.25" hidden="1" customHeight="1"/>
    <row r="134" spans="1:25" ht="14.25" hidden="1" customHeight="1"/>
    <row r="135" spans="1:25" ht="14.25" hidden="1" customHeight="1"/>
    <row r="136" spans="1:25" ht="14.25" hidden="1" customHeight="1"/>
    <row r="137" spans="1:25" ht="14.25" hidden="1" customHeight="1"/>
    <row r="138" spans="1:25" ht="14.25" hidden="1" customHeight="1"/>
    <row r="139" spans="1:25" ht="14.25" hidden="1" customHeight="1"/>
    <row r="140" spans="1:25" ht="14.25" hidden="1" customHeight="1"/>
    <row r="141" spans="1:25" ht="14.25" hidden="1" customHeight="1"/>
    <row r="142" spans="1:25" ht="14.25" hidden="1" customHeight="1"/>
    <row r="143" spans="1:25" ht="14.25" hidden="1" customHeight="1"/>
    <row r="144" spans="1:25"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sheetData>
  <sheetProtection password="CC47" sheet="1" objects="1" scenarios="1"/>
  <mergeCells count="38">
    <mergeCell ref="E25:J25"/>
    <mergeCell ref="E29:I30"/>
    <mergeCell ref="E60:M60"/>
    <mergeCell ref="F55:M55"/>
    <mergeCell ref="L1:M1"/>
    <mergeCell ref="I45:M45"/>
    <mergeCell ref="F50:M50"/>
    <mergeCell ref="F53:M53"/>
    <mergeCell ref="F54:M54"/>
    <mergeCell ref="D116:D117"/>
    <mergeCell ref="F51:M51"/>
    <mergeCell ref="D9:D13"/>
    <mergeCell ref="E9:I13"/>
    <mergeCell ref="J9:M13"/>
    <mergeCell ref="E70:E71"/>
    <mergeCell ref="F69:F72"/>
    <mergeCell ref="F20:G20"/>
    <mergeCell ref="F21:G21"/>
    <mergeCell ref="F23:G23"/>
    <mergeCell ref="J29:K29"/>
    <mergeCell ref="E22:E23"/>
    <mergeCell ref="E20:E21"/>
    <mergeCell ref="F22:G22"/>
    <mergeCell ref="F48:M48"/>
    <mergeCell ref="F49:M49"/>
    <mergeCell ref="I130:M130"/>
    <mergeCell ref="I119:M119"/>
    <mergeCell ref="I106:M106"/>
    <mergeCell ref="I95:M95"/>
    <mergeCell ref="I73:L73"/>
    <mergeCell ref="E123:M123"/>
    <mergeCell ref="G89:M89"/>
    <mergeCell ref="E82:M82"/>
    <mergeCell ref="E99:M99"/>
    <mergeCell ref="E111:M111"/>
    <mergeCell ref="E117:M117"/>
    <mergeCell ref="I76:M76"/>
    <mergeCell ref="E72:E73"/>
  </mergeCells>
  <phoneticPr fontId="4"/>
  <conditionalFormatting sqref="D99 D123 D111">
    <cfRule type="expression" dxfId="89" priority="43" stopIfTrue="1">
      <formula>AND(OR(D99&lt;1,D99&gt;5),D99&lt;&gt;P105)</formula>
    </cfRule>
    <cfRule type="expression" dxfId="88" priority="44" stopIfTrue="1">
      <formula>M98&gt;0</formula>
    </cfRule>
  </conditionalFormatting>
  <conditionalFormatting sqref="E68:E72">
    <cfRule type="expression" dxfId="87" priority="50" stopIfTrue="1">
      <formula>$M$59&gt;0</formula>
    </cfRule>
  </conditionalFormatting>
  <conditionalFormatting sqref="I95 E90:E92">
    <cfRule type="expression" dxfId="86" priority="51" stopIfTrue="1">
      <formula>$M$81&gt;0</formula>
    </cfRule>
  </conditionalFormatting>
  <conditionalFormatting sqref="I106 I76 I130">
    <cfRule type="expression" dxfId="85" priority="53" stopIfTrue="1">
      <formula>M68&gt;0</formula>
    </cfRule>
  </conditionalFormatting>
  <conditionalFormatting sqref="I45">
    <cfRule type="expression" dxfId="84" priority="30" stopIfTrue="1">
      <formula>M7&gt;0</formula>
    </cfRule>
  </conditionalFormatting>
  <conditionalFormatting sqref="H15">
    <cfRule type="expression" dxfId="83" priority="37" stopIfTrue="1">
      <formula>$M$7</formula>
    </cfRule>
  </conditionalFormatting>
  <conditionalFormatting sqref="H17">
    <cfRule type="cellIs" dxfId="82" priority="27" stopIfTrue="1" operator="equal">
      <formula>0</formula>
    </cfRule>
  </conditionalFormatting>
  <conditionalFormatting sqref="H18">
    <cfRule type="cellIs" dxfId="81" priority="26" stopIfTrue="1" operator="equal">
      <formula>0</formula>
    </cfRule>
  </conditionalFormatting>
  <conditionalFormatting sqref="H19">
    <cfRule type="cellIs" dxfId="80" priority="25" stopIfTrue="1" operator="equal">
      <formula>0</formula>
    </cfRule>
  </conditionalFormatting>
  <conditionalFormatting sqref="H20:H22">
    <cfRule type="cellIs" dxfId="79" priority="24" stopIfTrue="1" operator="equal">
      <formula>0</formula>
    </cfRule>
  </conditionalFormatting>
  <conditionalFormatting sqref="H23">
    <cfRule type="cellIs" dxfId="78" priority="23" stopIfTrue="1" operator="equal">
      <formula>0</formula>
    </cfRule>
  </conditionalFormatting>
  <conditionalFormatting sqref="F32 K32">
    <cfRule type="cellIs" dxfId="77" priority="22" stopIfTrue="1" operator="equal">
      <formula>0</formula>
    </cfRule>
  </conditionalFormatting>
  <conditionalFormatting sqref="D8">
    <cfRule type="expression" dxfId="76" priority="20" stopIfTrue="1">
      <formula>AND(OR(D8&lt;1,D8&gt;5),D8&lt;&gt;#REF!)</formula>
    </cfRule>
    <cfRule type="expression" dxfId="75" priority="21" stopIfTrue="1">
      <formula>M7&gt;0</formula>
    </cfRule>
  </conditionalFormatting>
  <conditionalFormatting sqref="I119">
    <cfRule type="expression" dxfId="74" priority="108" stopIfTrue="1">
      <formula>M110&gt;0</formula>
    </cfRule>
  </conditionalFormatting>
  <conditionalFormatting sqref="E51">
    <cfRule type="expression" dxfId="73" priority="19" stopIfTrue="1">
      <formula>AND(M37&gt;0,D38&gt;=3)</formula>
    </cfRule>
  </conditionalFormatting>
  <conditionalFormatting sqref="E55">
    <cfRule type="expression" dxfId="72" priority="18" stopIfTrue="1">
      <formula>AND(M39&gt;0,D40&gt;=3)</formula>
    </cfRule>
  </conditionalFormatting>
  <conditionalFormatting sqref="E48:E50">
    <cfRule type="expression" dxfId="71" priority="12" stopIfTrue="1">
      <formula>AND(M35&gt;0,D36&gt;=3)</formula>
    </cfRule>
  </conditionalFormatting>
  <conditionalFormatting sqref="I48:I50">
    <cfRule type="expression" dxfId="70" priority="13" stopIfTrue="1">
      <formula>M7&gt;0</formula>
    </cfRule>
  </conditionalFormatting>
  <conditionalFormatting sqref="J48:J50">
    <cfRule type="expression" dxfId="69" priority="14" stopIfTrue="1">
      <formula>M7&gt;0</formula>
    </cfRule>
  </conditionalFormatting>
  <conditionalFormatting sqref="K48:K50">
    <cfRule type="expression" dxfId="68" priority="15" stopIfTrue="1">
      <formula>M7&gt;0</formula>
    </cfRule>
  </conditionalFormatting>
  <conditionalFormatting sqref="L48:L50">
    <cfRule type="expression" dxfId="67" priority="16" stopIfTrue="1">
      <formula>M7&gt;0</formula>
    </cfRule>
  </conditionalFormatting>
  <conditionalFormatting sqref="M48:M50">
    <cfRule type="expression" dxfId="66" priority="17" stopIfTrue="1">
      <formula>M7&gt;0</formula>
    </cfRule>
  </conditionalFormatting>
  <conditionalFormatting sqref="I47">
    <cfRule type="expression" dxfId="65" priority="7" stopIfTrue="1">
      <formula>M8&gt;0</formula>
    </cfRule>
  </conditionalFormatting>
  <conditionalFormatting sqref="J47">
    <cfRule type="expression" dxfId="64" priority="8" stopIfTrue="1">
      <formula>M8&gt;0</formula>
    </cfRule>
  </conditionalFormatting>
  <conditionalFormatting sqref="K47">
    <cfRule type="expression" dxfId="63" priority="9" stopIfTrue="1">
      <formula>M8&gt;0</formula>
    </cfRule>
  </conditionalFormatting>
  <conditionalFormatting sqref="L47">
    <cfRule type="expression" dxfId="62" priority="10" stopIfTrue="1">
      <formula>M8&gt;0</formula>
    </cfRule>
  </conditionalFormatting>
  <conditionalFormatting sqref="M47">
    <cfRule type="expression" dxfId="61" priority="11" stopIfTrue="1">
      <formula>M8&gt;0</formula>
    </cfRule>
  </conditionalFormatting>
  <conditionalFormatting sqref="E53:E54">
    <cfRule type="expression" dxfId="60" priority="1" stopIfTrue="1">
      <formula>AND(M40&gt;0,D41&gt;=3)</formula>
    </cfRule>
  </conditionalFormatting>
  <conditionalFormatting sqref="I53:I54">
    <cfRule type="expression" dxfId="59" priority="2" stopIfTrue="1">
      <formula>M12&gt;0</formula>
    </cfRule>
  </conditionalFormatting>
  <conditionalFormatting sqref="J53:J54">
    <cfRule type="expression" dxfId="58" priority="3" stopIfTrue="1">
      <formula>M12&gt;0</formula>
    </cfRule>
  </conditionalFormatting>
  <conditionalFormatting sqref="K53:K54">
    <cfRule type="expression" dxfId="57" priority="4" stopIfTrue="1">
      <formula>M12&gt;0</formula>
    </cfRule>
  </conditionalFormatting>
  <conditionalFormatting sqref="L53:L54">
    <cfRule type="expression" dxfId="56" priority="5" stopIfTrue="1">
      <formula>M12&gt;0</formula>
    </cfRule>
  </conditionalFormatting>
  <conditionalFormatting sqref="M53:M54">
    <cfRule type="expression" dxfId="55" priority="6" stopIfTrue="1">
      <formula>M12&gt;0</formula>
    </cfRule>
  </conditionalFormatting>
  <dataValidations xWindow="317" yWindow="180" count="11">
    <dataValidation type="list" allowBlank="1" showInputMessage="1" sqref="D123 D99 D111">
      <formula1>P100:P105</formula1>
    </dataValidation>
    <dataValidation type="textLength" operator="lessThanOrEqual" allowBlank="1" showInputMessage="1" showErrorMessage="1" sqref="I119 I130 I76 I95 I106 TA46:TA47 ACW46:ACW47 AMS46:AMS47 AWO46:AWO47 BGK46:BGK47 BQG46:BQG47 CAC46:CAC47 CJY46:CJY47 CTU46:CTU47 DDQ46:DDQ47 DNM46:DNM47 DXI46:DXI47 EHE46:EHE47 ERA46:ERA47 FAW46:FAW47 FKS46:FKS47 FUO46:FUO47 GEK46:GEK47 GOG46:GOG47 GYC46:GYC47 HHY46:HHY47 HRU46:HRU47 IBQ46:IBQ47 ILM46:ILM47 IVI46:IVI47 JFE46:JFE47 JPA46:JPA47 JYW46:JYW47 KIS46:KIS47 KSO46:KSO47 LCK46:LCK47 LMG46:LMG47 LWC46:LWC47 MFY46:MFY47 MPU46:MPU47 MZQ46:MZQ47 NJM46:NJM47 NTI46:NTI47 ODE46:ODE47 ONA46:ONA47 OWW46:OWW47 PGS46:PGS47 PQO46:PQO47 QAK46:QAK47 QKG46:QKG47 QUC46:QUC47 RDY46:RDY47 RNU46:RNU47 RXQ46:RXQ47 SHM46:SHM47 SRI46:SRI47 TBE46:TBE47 TLA46:TLA47 TUW46:TUW47 UES46:UES47 UOO46:UOO47 UYK46:UYK47 VIG46:VIG47 VSC46:VSC47 WBY46:WBY47 WLU46:WLU47 WVQ46:WVQ47 I46:I47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JE46:JE47 WVQ52">
      <formula1>35</formula1>
    </dataValidation>
    <dataValidation type="textLength" operator="lessThanOrEqual" allowBlank="1" showInputMessage="1" showErrorMessage="1" sqref="F130:H130 F119:H119 F76:H76 F95:H95 F106:H106 SX46:SZ47 ACT46:ACV47 AMP46:AMR47 AWL46:AWN47 BGH46:BGJ47 BQD46:BQF47 BZZ46:CAB47 CJV46:CJX47 CTR46:CTT47 DDN46:DDP47 DNJ46:DNL47 DXF46:DXH47 EHB46:EHD47 EQX46:EQZ47 FAT46:FAV47 FKP46:FKR47 FUL46:FUN47 GEH46:GEJ47 GOD46:GOF47 GXZ46:GYB47 HHV46:HHX47 HRR46:HRT47 IBN46:IBP47 ILJ46:ILL47 IVF46:IVH47 JFB46:JFD47 JOX46:JOZ47 JYT46:JYV47 KIP46:KIR47 KSL46:KSN47 LCH46:LCJ47 LMD46:LMF47 LVZ46:LWB47 MFV46:MFX47 MPR46:MPT47 MZN46:MZP47 NJJ46:NJL47 NTF46:NTH47 ODB46:ODD47 OMX46:OMZ47 OWT46:OWV47 PGP46:PGR47 PQL46:PQN47 QAH46:QAJ47 QKD46:QKF47 QTZ46:QUB47 RDV46:RDX47 RNR46:RNT47 RXN46:RXP47 SHJ46:SHL47 SRF46:SRH47 TBB46:TBD47 TKX46:TKZ47 TUT46:TUV47 UEP46:UER47 UOL46:UON47 UYH46:UYJ47 VID46:VIF47 VRZ46:VSB47 WBV46:WBX47 WLR46:WLT47 WVN46:WVP47 F46:H47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JB46:JD47 WVN52:WVP52">
      <formula1>30</formula1>
    </dataValidation>
    <dataValidation type="list" allowBlank="1" showInputMessage="1" showErrorMessage="1" sqref="E68:E72">
      <formula1>P68:Q68</formula1>
    </dataValidation>
    <dataValidation type="list" operator="greaterThanOrEqual" allowBlank="1" showInputMessage="1" showErrorMessage="1" sqref="E90:E92">
      <formula1>$U$3:$U$4</formula1>
    </dataValidation>
    <dataValidation allowBlank="1" showInputMessage="1" sqref="E16 D8"/>
    <dataValidation type="list" allowBlank="1" showInputMessage="1" showErrorMessage="1" sqref="H15">
      <formula1>$P$15:$Q$15</formula1>
    </dataValidation>
    <dataValidation type="list" allowBlank="1" showInputMessage="1" showErrorMessage="1" sqref="F32">
      <formula1>$T$32:$T$35</formula1>
    </dataValidation>
    <dataValidation type="list" allowBlank="1" showInputMessage="1" showErrorMessage="1" sqref="K32">
      <formula1>$U$32:$U$34</formula1>
    </dataValidation>
    <dataValidation type="list" allowBlank="1" showInputMessage="1" sqref="J29:K29">
      <formula1>$T$28:$T$30</formula1>
    </dataValidation>
    <dataValidation type="list" allowBlank="1" showInputMessage="1" showErrorMessage="1" sqref="JA48:JA51 SW48:SW51 ACS48:ACS51 AMO48:AMO51 AWK48:AWK51 BGG48:BGG51 BQC48:BQC51 BZY48:BZY51 CJU48:CJU51 CTQ48:CTQ51 DDM48:DDM51 DNI48:DNI51 DXE48:DXE51 EHA48:EHA51 EQW48:EQW51 FAS48:FAS51 FKO48:FKO51 FUK48:FUK51 GEG48:GEG51 GOC48:GOC51 GXY48:GXY51 HHU48:HHU51 HRQ48:HRQ51 IBM48:IBM51 ILI48:ILI51 IVE48:IVE51 JFA48:JFA51 JOW48:JOW51 JYS48:JYS51 KIO48:KIO51 KSK48:KSK51 LCG48:LCG51 LMC48:LMC51 LVY48:LVY51 MFU48:MFU51 MPQ48:MPQ51 MZM48:MZM51 NJI48:NJI51 NTE48:NTE51 ODA48:ODA51 OMW48:OMW51 OWS48:OWS51 PGO48:PGO51 PQK48:PQK51 QAG48:QAG51 QKC48:QKC51 QTY48:QTY51 RDU48:RDU51 RNQ48:RNQ51 RXM48:RXM51 SHI48:SHI51 SRE48:SRE51 TBA48:TBA51 TKW48:TKW51 TUS48:TUS51 UEO48:UEO51 UOK48:UOK51 UYG48:UYG51 VIC48:VIC51 VRY48:VRY51 WBU48:WBU51 WLQ48:WLQ51 WVM48:WVM51 E48:E51 E53:E55 JA53:JA55 SW53:SW55 ACS53:ACS55 AMO53:AMO55 AWK53:AWK55 BGG53:BGG55 BQC53:BQC55 BZY53:BZY55 CJU53:CJU55 CTQ53:CTQ55 DDM53:DDM55 DNI53:DNI55 DXE53:DXE55 EHA53:EHA55 EQW53:EQW55 FAS53:FAS55 FKO53:FKO55 FUK53:FUK55 GEG53:GEG55 GOC53:GOC55 GXY53:GXY55 HHU53:HHU55 HRQ53:HRQ55 IBM53:IBM55 ILI53:ILI55 IVE53:IVE55 JFA53:JFA55 JOW53:JOW55 JYS53:JYS55 KIO53:KIO55 KSK53:KSK55 LCG53:LCG55 LMC53:LMC55 LVY53:LVY55 MFU53:MFU55 MPQ53:MPQ55 MZM53:MZM55 NJI53:NJI55 NTE53:NTE55 ODA53:ODA55 OMW53:OMW55 OWS53:OWS55 PGO53:PGO55 PQK53:PQK55 QAG53:QAG55 QKC53:QKC55 QTY53:QTY55 RDU53:RDU55 RNQ53:RNQ55 RXM53:RXM55 SHI53:SHI55 SRE53:SRE55 TBA53:TBA55 TKW53:TKW55 TUS53:TUS55 UEO53:UEO55 UOK53:UOK55 UYG53:UYG55 VIC53:VIC55 VRY53:VRY55 WBU53:WBU55 WLQ53:WLQ55 WVM53:WVM55">
      <formula1>"○,　"</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77" max="13" man="1"/>
  </rowBreaks>
</worksheet>
</file>

<file path=xl/worksheets/sheet10.xml><?xml version="1.0" encoding="utf-8"?>
<worksheet xmlns="http://schemas.openxmlformats.org/spreadsheetml/2006/main" xmlns:r="http://schemas.openxmlformats.org/officeDocument/2006/relationships">
  <sheetPr codeName="Sheet11">
    <pageSetUpPr autoPageBreaks="0" fitToPage="1"/>
  </sheetPr>
  <dimension ref="A1:IV205"/>
  <sheetViews>
    <sheetView showGridLines="0" topLeftCell="A16" zoomScaleNormal="100" workbookViewId="0">
      <selection activeCell="G11" sqref="G11"/>
    </sheetView>
  </sheetViews>
  <sheetFormatPr defaultColWidth="0" defaultRowHeight="14.25" zeroHeight="1"/>
  <cols>
    <col min="1" max="1" width="1.375" style="4" customWidth="1"/>
    <col min="2" max="2" width="4.625" style="599" customWidth="1"/>
    <col min="3" max="3" width="1.5" style="300" customWidth="1"/>
    <col min="4" max="13" width="11.625" style="300" customWidth="1"/>
    <col min="14" max="14" width="1.625" style="4" customWidth="1"/>
    <col min="15" max="15" width="5.875" style="4" hidden="1" customWidth="1"/>
    <col min="16" max="16" width="18.75" style="4" hidden="1" customWidth="1"/>
    <col min="17" max="17" width="7.125" style="4" hidden="1" customWidth="1"/>
    <col min="18" max="18" width="9.375" style="4" hidden="1" customWidth="1"/>
    <col min="19" max="19" width="10" style="4" hidden="1" customWidth="1"/>
    <col min="20" max="20" width="5" style="4" hidden="1" customWidth="1"/>
    <col min="21" max="21" width="7.125" style="4" hidden="1" customWidth="1"/>
    <col min="22" max="22" width="11" style="4" hidden="1" customWidth="1"/>
    <col min="23" max="23" width="4.75" style="4" hidden="1" customWidth="1"/>
    <col min="24" max="24" width="9.25" style="4" hidden="1" customWidth="1"/>
    <col min="25" max="25" width="5.375" style="4" hidden="1" customWidth="1"/>
    <col min="26" max="255" width="9" style="4" hidden="1" customWidth="1"/>
    <col min="256" max="16384" width="1.375" style="4" hidden="1"/>
  </cols>
  <sheetData>
    <row r="1" spans="1:25" s="144" customFormat="1" ht="22.5" customHeight="1">
      <c r="A1" s="51"/>
      <c r="B1" s="164"/>
      <c r="C1" s="150"/>
      <c r="D1" s="155"/>
      <c r="E1" s="51"/>
      <c r="F1" s="51"/>
      <c r="G1" s="51"/>
      <c r="H1" s="51"/>
      <c r="I1" s="51"/>
      <c r="J1" s="51"/>
      <c r="K1" s="1047" t="s">
        <v>342</v>
      </c>
      <c r="L1" s="2387">
        <f>メイン!C10</f>
        <v>0</v>
      </c>
      <c r="M1" s="2387"/>
      <c r="N1" s="150"/>
      <c r="O1" s="142"/>
      <c r="P1" s="142"/>
      <c r="Q1" s="142"/>
    </row>
    <row r="2" spans="1:25" s="144" customFormat="1" ht="9" customHeight="1" thickBot="1">
      <c r="A2" s="51"/>
      <c r="B2" s="164"/>
      <c r="C2" s="150"/>
      <c r="D2" s="155"/>
      <c r="E2" s="51"/>
      <c r="F2" s="51"/>
      <c r="G2" s="51"/>
      <c r="H2" s="51"/>
      <c r="I2" s="51"/>
      <c r="J2" s="51"/>
      <c r="K2" s="1046"/>
      <c r="L2" s="360"/>
      <c r="M2" s="47"/>
      <c r="N2" s="150"/>
      <c r="O2" s="142"/>
      <c r="P2" s="142"/>
      <c r="Q2" s="142"/>
    </row>
    <row r="3" spans="1:25" ht="21.75" thickBot="1">
      <c r="A3" s="1"/>
      <c r="B3" s="298" t="s">
        <v>970</v>
      </c>
      <c r="C3" s="51"/>
      <c r="D3" s="51"/>
      <c r="E3" s="51"/>
      <c r="F3" s="134"/>
      <c r="H3" s="146"/>
      <c r="I3" s="52" t="s">
        <v>1104</v>
      </c>
      <c r="J3" s="28"/>
      <c r="K3" s="51"/>
      <c r="L3" s="51"/>
      <c r="M3" s="155" t="str">
        <f>IF(メイン!E31=0,"",メイン!E31)</f>
        <v/>
      </c>
      <c r="N3" s="1"/>
      <c r="O3" s="130"/>
      <c r="P3" s="315" t="s">
        <v>83</v>
      </c>
      <c r="Q3" s="37"/>
      <c r="R3" s="323">
        <v>0</v>
      </c>
      <c r="S3" s="551"/>
      <c r="T3" s="318"/>
      <c r="U3" s="318"/>
      <c r="V3" s="318" t="str">
        <f>メイン!N31</f>
        <v>基本設計段階</v>
      </c>
      <c r="W3" s="144"/>
      <c r="X3" s="144"/>
      <c r="Y3" s="144"/>
    </row>
    <row r="4" spans="1:25" ht="6" customHeight="1">
      <c r="A4" s="1"/>
      <c r="B4" s="36"/>
      <c r="C4" s="51"/>
      <c r="D4" s="51"/>
      <c r="E4" s="51"/>
      <c r="F4" s="51"/>
      <c r="G4" s="51"/>
      <c r="H4" s="51"/>
      <c r="I4" s="51"/>
      <c r="J4" s="51"/>
      <c r="K4" s="51"/>
      <c r="L4" s="51"/>
      <c r="M4" s="51"/>
      <c r="N4" s="1"/>
      <c r="O4" s="144"/>
      <c r="P4" s="144"/>
      <c r="Q4" s="37"/>
      <c r="R4" s="323">
        <v>1</v>
      </c>
      <c r="S4" s="551"/>
      <c r="T4" s="318" t="s">
        <v>84</v>
      </c>
      <c r="U4" s="318" t="s">
        <v>85</v>
      </c>
      <c r="V4" s="318" t="str">
        <f>メイン!N32</f>
        <v>実施設計段階</v>
      </c>
      <c r="W4" s="144" t="s">
        <v>18</v>
      </c>
      <c r="X4" s="144"/>
      <c r="Y4" s="144"/>
    </row>
    <row r="5" spans="1:25" s="327" customFormat="1" ht="13.5" customHeight="1">
      <c r="A5" s="22"/>
      <c r="B5" s="1061">
        <v>1</v>
      </c>
      <c r="C5" s="147" t="s">
        <v>1101</v>
      </c>
      <c r="D5" s="147"/>
      <c r="E5" s="147"/>
      <c r="F5" s="150"/>
      <c r="G5" s="150"/>
      <c r="H5" s="150"/>
      <c r="I5" s="150"/>
      <c r="J5" s="150"/>
      <c r="K5" s="150"/>
      <c r="L5" s="150"/>
      <c r="M5" s="150"/>
      <c r="N5" s="22"/>
      <c r="O5" s="175"/>
      <c r="P5" s="324"/>
      <c r="Q5" s="37"/>
      <c r="R5" s="323">
        <v>2</v>
      </c>
      <c r="S5" s="301"/>
      <c r="T5" s="301"/>
      <c r="U5" s="301"/>
      <c r="V5" s="318" t="str">
        <f>メイン!N33</f>
        <v>竣工段階</v>
      </c>
      <c r="W5" s="144" t="s">
        <v>19</v>
      </c>
      <c r="X5" s="144"/>
      <c r="Y5" s="144"/>
    </row>
    <row r="6" spans="1:25" s="327" customFormat="1" ht="13.5" customHeight="1">
      <c r="A6" s="22"/>
      <c r="B6" s="164">
        <v>1.1000000000000001</v>
      </c>
      <c r="C6" s="147" t="s">
        <v>318</v>
      </c>
      <c r="D6" s="147"/>
      <c r="E6" s="147"/>
      <c r="F6" s="150"/>
      <c r="G6" s="150"/>
      <c r="H6" s="150"/>
      <c r="I6" s="150"/>
      <c r="J6" s="150"/>
      <c r="K6" s="150"/>
      <c r="L6" s="150"/>
      <c r="M6" s="150"/>
      <c r="N6" s="22"/>
      <c r="O6" s="175"/>
      <c r="P6" s="324"/>
      <c r="Q6" s="37"/>
      <c r="R6" s="323"/>
      <c r="S6" s="301"/>
      <c r="T6" s="301"/>
      <c r="U6" s="301"/>
      <c r="V6" s="318"/>
      <c r="W6" s="144"/>
      <c r="X6" s="144"/>
      <c r="Y6" s="144"/>
    </row>
    <row r="7" spans="1:25" s="327" customFormat="1" ht="15" thickBot="1">
      <c r="A7" s="22"/>
      <c r="E7" s="147"/>
      <c r="F7" s="150"/>
      <c r="G7" s="155" t="s">
        <v>299</v>
      </c>
      <c r="H7" s="155" t="s">
        <v>300</v>
      </c>
      <c r="I7" s="155" t="s">
        <v>301</v>
      </c>
      <c r="J7" s="150"/>
      <c r="K7" s="150"/>
      <c r="L7" s="150"/>
      <c r="M7" s="150"/>
      <c r="N7" s="22"/>
      <c r="O7" s="175"/>
      <c r="Q7" s="37"/>
      <c r="R7" s="323" t="s">
        <v>82</v>
      </c>
      <c r="S7" s="301"/>
      <c r="T7" s="132"/>
      <c r="U7" s="132"/>
      <c r="V7" s="318">
        <f>メイン!N30</f>
        <v>0</v>
      </c>
      <c r="W7" s="175"/>
      <c r="X7" s="175"/>
      <c r="Y7" s="175"/>
    </row>
    <row r="8" spans="1:25" s="327" customFormat="1" ht="16.5" customHeight="1" thickBot="1">
      <c r="A8" s="22"/>
      <c r="B8" s="627"/>
      <c r="C8" s="147"/>
      <c r="D8" s="807">
        <f>D11*M11+D30*M29+D44*M43</f>
        <v>3</v>
      </c>
      <c r="E8" s="147"/>
      <c r="F8" s="377" t="s">
        <v>302</v>
      </c>
      <c r="G8" s="876">
        <v>1</v>
      </c>
      <c r="H8" s="876">
        <v>0</v>
      </c>
      <c r="I8" s="876">
        <v>0</v>
      </c>
      <c r="J8" s="877" t="str">
        <f>IF(P8&lt;&gt;1,"合計が１になるように入力してください","")</f>
        <v/>
      </c>
      <c r="K8" s="150"/>
      <c r="L8" s="150"/>
      <c r="M8" s="150"/>
      <c r="N8" s="22"/>
      <c r="O8" s="175"/>
      <c r="P8" s="324">
        <f>G8+H8+I8</f>
        <v>1</v>
      </c>
      <c r="Q8" s="37"/>
      <c r="R8" s="812"/>
      <c r="S8" s="301"/>
      <c r="T8" s="132"/>
      <c r="U8" s="132"/>
      <c r="V8" s="476"/>
      <c r="W8" s="175"/>
      <c r="X8" s="175"/>
      <c r="Y8" s="175"/>
    </row>
    <row r="9" spans="1:25" s="327" customFormat="1" ht="18" customHeight="1">
      <c r="A9" s="22"/>
      <c r="B9" s="627"/>
      <c r="C9" s="147"/>
      <c r="D9" s="1044"/>
      <c r="E9" s="147"/>
      <c r="F9" s="377"/>
      <c r="G9" s="1045"/>
      <c r="H9" s="1045"/>
      <c r="I9" s="1045"/>
      <c r="J9" s="877"/>
      <c r="K9" s="150"/>
      <c r="L9" s="150"/>
      <c r="M9" s="150"/>
      <c r="N9" s="22"/>
      <c r="O9" s="175"/>
      <c r="P9" s="324"/>
      <c r="Q9" s="37"/>
      <c r="R9" s="812"/>
      <c r="S9" s="301"/>
      <c r="T9" s="132"/>
      <c r="U9" s="132"/>
      <c r="V9" s="476"/>
      <c r="W9" s="175"/>
      <c r="X9" s="175"/>
      <c r="Y9" s="175"/>
    </row>
    <row r="10" spans="1:25" s="327" customFormat="1" ht="16.5" customHeight="1" thickBot="1">
      <c r="A10" s="22"/>
      <c r="B10" s="627"/>
      <c r="C10" s="147"/>
      <c r="D10" s="1062" t="s">
        <v>356</v>
      </c>
      <c r="E10" s="147"/>
      <c r="F10" s="150"/>
      <c r="G10" s="150"/>
      <c r="H10" s="150"/>
      <c r="I10" s="150"/>
      <c r="J10" s="150"/>
      <c r="K10" s="150"/>
      <c r="L10" s="150"/>
      <c r="M10" s="150"/>
      <c r="N10" s="22"/>
      <c r="O10" s="175"/>
      <c r="P10" s="324"/>
      <c r="Q10" s="37"/>
      <c r="R10" s="812"/>
      <c r="S10" s="301"/>
      <c r="T10" s="132"/>
      <c r="U10" s="132"/>
      <c r="V10" s="476"/>
      <c r="W10" s="175"/>
      <c r="X10" s="175"/>
      <c r="Y10" s="175"/>
    </row>
    <row r="11" spans="1:25" s="327" customFormat="1" ht="16.5" customHeight="1" thickBot="1">
      <c r="A11" s="22"/>
      <c r="B11" s="627"/>
      <c r="C11" s="147"/>
      <c r="D11" s="1051">
        <f>IF(D12+L22&lt;=5,D12+L22,5)</f>
        <v>3</v>
      </c>
      <c r="E11" s="147"/>
      <c r="F11" s="150"/>
      <c r="G11" s="24"/>
      <c r="H11" s="24"/>
      <c r="I11" s="150"/>
      <c r="J11" s="150"/>
      <c r="K11" s="150"/>
      <c r="L11" s="176" t="s">
        <v>2</v>
      </c>
      <c r="M11" s="48">
        <f>重み!M65</f>
        <v>1</v>
      </c>
      <c r="N11" s="22"/>
      <c r="O11" s="144">
        <f>C11</f>
        <v>0</v>
      </c>
      <c r="P11" s="144" t="str">
        <f>D10</f>
        <v>1.1.1　木質系住宅</v>
      </c>
      <c r="Q11" s="144">
        <f t="shared" ref="Q11:Y11" si="0">E11</f>
        <v>0</v>
      </c>
      <c r="R11" s="144">
        <f t="shared" si="0"/>
        <v>0</v>
      </c>
      <c r="S11" s="144">
        <f t="shared" si="0"/>
        <v>0</v>
      </c>
      <c r="T11" s="144">
        <f t="shared" si="0"/>
        <v>0</v>
      </c>
      <c r="U11" s="144">
        <f t="shared" si="0"/>
        <v>0</v>
      </c>
      <c r="V11" s="144">
        <f t="shared" si="0"/>
        <v>0</v>
      </c>
      <c r="W11" s="144">
        <f t="shared" si="0"/>
        <v>0</v>
      </c>
      <c r="X11" s="144" t="str">
        <f t="shared" si="0"/>
        <v>重み係数＝</v>
      </c>
      <c r="Y11" s="144">
        <f t="shared" si="0"/>
        <v>1</v>
      </c>
    </row>
    <row r="12" spans="1:25" ht="16.5" customHeight="1" thickBot="1">
      <c r="A12" s="1"/>
      <c r="B12" s="627"/>
      <c r="C12" s="36"/>
      <c r="D12" s="1049">
        <v>3</v>
      </c>
      <c r="E12" s="2391" t="s">
        <v>391</v>
      </c>
      <c r="F12" s="2392"/>
      <c r="G12" s="2392"/>
      <c r="H12" s="2392"/>
      <c r="I12" s="2392"/>
      <c r="J12" s="2392"/>
      <c r="K12" s="2392"/>
      <c r="L12" s="2392"/>
      <c r="M12" s="2393"/>
      <c r="N12" s="22"/>
      <c r="O12" s="142"/>
      <c r="P12" s="144"/>
      <c r="Q12" s="142"/>
      <c r="R12" s="144"/>
      <c r="S12" s="144"/>
      <c r="T12" s="144"/>
      <c r="U12" s="144"/>
      <c r="V12" s="144"/>
      <c r="W12" s="144"/>
      <c r="X12" s="144"/>
      <c r="Y12" s="144"/>
    </row>
    <row r="13" spans="1:25" ht="16.5" customHeight="1">
      <c r="A13" s="1"/>
      <c r="B13" s="627"/>
      <c r="C13" s="36"/>
      <c r="D13" s="32" t="str">
        <f>IF(D12=$Q$18,$R$13,IF(ROUNDDOWN(D12,0)=$Q$13,$S$13,$R$13))</f>
        <v>　レベル　1</v>
      </c>
      <c r="E13" s="811" t="s">
        <v>383</v>
      </c>
      <c r="F13" s="486"/>
      <c r="G13" s="486"/>
      <c r="H13" s="486"/>
      <c r="I13" s="486"/>
      <c r="J13" s="486"/>
      <c r="K13" s="486"/>
      <c r="L13" s="486"/>
      <c r="M13" s="809"/>
      <c r="N13" s="22"/>
      <c r="O13" s="144"/>
      <c r="P13" s="584" t="s">
        <v>812</v>
      </c>
      <c r="Q13" s="316">
        <v>1</v>
      </c>
      <c r="R13" s="319" t="s">
        <v>459</v>
      </c>
      <c r="S13" s="317" t="s">
        <v>77</v>
      </c>
      <c r="T13" s="132"/>
      <c r="U13" s="584">
        <f>$Q$13</f>
        <v>1</v>
      </c>
      <c r="V13" s="132"/>
      <c r="W13" s="132"/>
      <c r="X13" s="132"/>
      <c r="Y13" s="132"/>
    </row>
    <row r="14" spans="1:25" ht="16.5" customHeight="1">
      <c r="A14" s="1"/>
      <c r="B14" s="627"/>
      <c r="C14" s="36"/>
      <c r="D14" s="35" t="str">
        <f>IF(D12=$Q$18,$R$14,IF(ROUNDDOWN(D12,0)=$Q$14,$S$14,$R$14))</f>
        <v>　レベル　2</v>
      </c>
      <c r="E14" s="174" t="s">
        <v>383</v>
      </c>
      <c r="F14" s="485"/>
      <c r="G14" s="485"/>
      <c r="H14" s="485"/>
      <c r="I14" s="485"/>
      <c r="J14" s="485"/>
      <c r="K14" s="485"/>
      <c r="L14" s="485"/>
      <c r="M14" s="810"/>
      <c r="N14" s="22"/>
      <c r="O14" s="144"/>
      <c r="P14" s="584" t="s">
        <v>812</v>
      </c>
      <c r="Q14" s="316">
        <v>2</v>
      </c>
      <c r="R14" s="319" t="s">
        <v>460</v>
      </c>
      <c r="S14" s="317" t="s">
        <v>78</v>
      </c>
      <c r="T14" s="132"/>
      <c r="U14" s="584">
        <f>$Q$14</f>
        <v>2</v>
      </c>
      <c r="V14" s="132"/>
      <c r="W14" s="132"/>
      <c r="X14" s="132"/>
      <c r="Y14" s="132"/>
    </row>
    <row r="15" spans="1:25" ht="16.5" customHeight="1">
      <c r="A15" s="1"/>
      <c r="B15" s="627"/>
      <c r="C15" s="36"/>
      <c r="D15" s="35" t="str">
        <f>IF(D12=$Q$18,$R$15,IF(ROUNDDOWN(D12,0)=$Q$15,$S$15,$R$15))</f>
        <v>■レベル　3</v>
      </c>
      <c r="E15" s="174" t="s">
        <v>666</v>
      </c>
      <c r="F15" s="485"/>
      <c r="G15" s="485"/>
      <c r="H15" s="485"/>
      <c r="I15" s="485"/>
      <c r="J15" s="485"/>
      <c r="K15" s="485"/>
      <c r="L15" s="485"/>
      <c r="M15" s="810"/>
      <c r="N15" s="22"/>
      <c r="O15" s="144"/>
      <c r="P15" s="584">
        <f>$Q$15</f>
        <v>3</v>
      </c>
      <c r="Q15" s="316">
        <v>3</v>
      </c>
      <c r="R15" s="319" t="s">
        <v>461</v>
      </c>
      <c r="S15" s="317" t="s">
        <v>79</v>
      </c>
      <c r="T15" s="132"/>
      <c r="U15" s="584">
        <f>$Q$15</f>
        <v>3</v>
      </c>
      <c r="V15" s="132"/>
      <c r="W15" s="132"/>
      <c r="X15" s="132"/>
      <c r="Y15" s="132"/>
    </row>
    <row r="16" spans="1:25" ht="16.5" customHeight="1">
      <c r="A16" s="1"/>
      <c r="B16" s="627"/>
      <c r="C16" s="36"/>
      <c r="D16" s="35" t="str">
        <f>IF(D12=$Q$18,$R$16,IF(ROUNDDOWN(D12,0)=$Q$16,$S$16,$R$16))</f>
        <v>　レベル　4</v>
      </c>
      <c r="E16" s="174" t="s">
        <v>320</v>
      </c>
      <c r="F16" s="763"/>
      <c r="G16" s="763"/>
      <c r="H16" s="763"/>
      <c r="I16" s="763"/>
      <c r="J16" s="763"/>
      <c r="K16" s="763"/>
      <c r="L16" s="763"/>
      <c r="M16" s="764"/>
      <c r="N16" s="22"/>
      <c r="O16" s="144"/>
      <c r="P16" s="584">
        <f>$Q$16</f>
        <v>4</v>
      </c>
      <c r="Q16" s="316">
        <v>4</v>
      </c>
      <c r="R16" s="319" t="s">
        <v>462</v>
      </c>
      <c r="S16" s="317" t="s">
        <v>80</v>
      </c>
      <c r="T16" s="132"/>
      <c r="U16" s="584">
        <f>$Q$16</f>
        <v>4</v>
      </c>
      <c r="V16" s="132"/>
      <c r="W16" s="132"/>
      <c r="X16" s="132"/>
      <c r="Y16" s="132"/>
    </row>
    <row r="17" spans="1:25" ht="16.5" customHeight="1">
      <c r="A17" s="1"/>
      <c r="B17" s="627"/>
      <c r="C17" s="36"/>
      <c r="D17" s="33" t="str">
        <f>IF(D12=$Q$18,$R$17,IF(ROUNDDOWN(D12,0)=$Q$17,$S$17,$R$17))</f>
        <v>　レベル　5</v>
      </c>
      <c r="E17" s="778" t="s">
        <v>770</v>
      </c>
      <c r="F17" s="765"/>
      <c r="G17" s="765"/>
      <c r="H17" s="765"/>
      <c r="I17" s="765"/>
      <c r="J17" s="765"/>
      <c r="K17" s="765"/>
      <c r="L17" s="765"/>
      <c r="M17" s="766"/>
      <c r="N17" s="1"/>
      <c r="O17" s="144"/>
      <c r="P17" s="584">
        <f>$Q$17</f>
        <v>5</v>
      </c>
      <c r="Q17" s="316">
        <v>5</v>
      </c>
      <c r="R17" s="319" t="s">
        <v>463</v>
      </c>
      <c r="S17" s="317" t="s">
        <v>81</v>
      </c>
      <c r="T17" s="132"/>
      <c r="U17" s="584">
        <f>$Q$17</f>
        <v>5</v>
      </c>
      <c r="V17" s="132"/>
      <c r="W17" s="132"/>
      <c r="X17" s="132"/>
      <c r="Y17" s="132"/>
    </row>
    <row r="18" spans="1:25" ht="14.25" customHeight="1" thickBot="1">
      <c r="A18" s="1"/>
      <c r="B18" s="627"/>
      <c r="C18" s="36"/>
      <c r="D18" s="36"/>
      <c r="E18" s="1058" t="s">
        <v>360</v>
      </c>
      <c r="F18" s="296"/>
      <c r="G18" s="296"/>
      <c r="H18" s="296"/>
      <c r="I18" s="296"/>
      <c r="J18" s="150"/>
      <c r="K18" s="150"/>
      <c r="L18" s="150"/>
      <c r="M18" s="150"/>
      <c r="N18" s="1"/>
      <c r="O18" s="144"/>
      <c r="P18" s="584" t="s">
        <v>60</v>
      </c>
      <c r="Q18" s="324" t="s">
        <v>82</v>
      </c>
      <c r="T18" s="132"/>
      <c r="U18" s="584" t="str">
        <f>$Q$18</f>
        <v>対象外</v>
      </c>
      <c r="V18" s="132"/>
      <c r="W18" s="132"/>
      <c r="X18" s="132"/>
      <c r="Y18" s="132"/>
    </row>
    <row r="19" spans="1:25" ht="46.5" customHeight="1">
      <c r="A19" s="1"/>
      <c r="B19" s="164"/>
      <c r="C19" s="34"/>
      <c r="D19" s="38"/>
      <c r="E19" s="742"/>
      <c r="F19" s="512" t="s">
        <v>20</v>
      </c>
      <c r="G19" s="2400" t="s">
        <v>1174</v>
      </c>
      <c r="H19" s="2401"/>
      <c r="I19" s="2401"/>
      <c r="J19" s="2401"/>
      <c r="K19" s="2401"/>
      <c r="L19" s="2401"/>
      <c r="M19" s="2402"/>
      <c r="N19" s="133"/>
      <c r="P19" s="615"/>
      <c r="T19" s="598"/>
      <c r="U19" s="615"/>
    </row>
    <row r="20" spans="1:25" ht="16.5" thickBot="1">
      <c r="A20" s="1"/>
      <c r="B20" s="164"/>
      <c r="C20" s="34"/>
      <c r="D20" s="38"/>
      <c r="E20" s="957"/>
      <c r="F20" s="548" t="s">
        <v>21</v>
      </c>
      <c r="G20" s="535" t="s">
        <v>1176</v>
      </c>
      <c r="H20" s="534"/>
      <c r="I20" s="534"/>
      <c r="J20" s="534"/>
      <c r="K20" s="534"/>
      <c r="L20" s="534"/>
      <c r="M20" s="538"/>
      <c r="N20" s="133"/>
      <c r="P20" s="615"/>
      <c r="T20" s="598"/>
      <c r="U20" s="615"/>
    </row>
    <row r="21" spans="1:25" ht="15.75" hidden="1">
      <c r="A21" s="1"/>
      <c r="B21" s="164"/>
      <c r="C21" s="34"/>
      <c r="D21" s="38"/>
      <c r="E21" s="796"/>
      <c r="F21" s="139"/>
      <c r="G21" s="528"/>
      <c r="H21" s="528"/>
      <c r="I21" s="528"/>
      <c r="J21" s="528"/>
      <c r="K21" s="528"/>
      <c r="L21" s="528"/>
      <c r="M21" s="527"/>
      <c r="N21" s="133"/>
      <c r="P21" s="615"/>
      <c r="T21" s="598"/>
      <c r="U21" s="615"/>
    </row>
    <row r="22" spans="1:25" ht="15.75">
      <c r="A22" s="1"/>
      <c r="B22" s="164"/>
      <c r="C22" s="34"/>
      <c r="D22" s="38"/>
      <c r="E22" s="806"/>
      <c r="F22" s="528"/>
      <c r="G22" s="528"/>
      <c r="H22" s="528"/>
      <c r="I22" s="528"/>
      <c r="J22" s="528"/>
      <c r="K22" s="528" t="s">
        <v>377</v>
      </c>
      <c r="L22" s="1057">
        <f>IF(E19=U4,1)+IF(E20="過半",2)+IF(E20="一部",1)</f>
        <v>0</v>
      </c>
      <c r="M22" s="527" t="s">
        <v>378</v>
      </c>
      <c r="N22" s="133"/>
      <c r="P22" s="615"/>
      <c r="T22" s="598"/>
      <c r="U22" s="615"/>
    </row>
    <row r="23" spans="1:25" s="144" customFormat="1" ht="8.25" customHeight="1">
      <c r="A23" s="51"/>
      <c r="B23" s="164"/>
      <c r="C23" s="607"/>
      <c r="D23" s="309"/>
      <c r="E23" s="309"/>
      <c r="F23" s="1"/>
      <c r="G23" s="1"/>
      <c r="H23" s="1"/>
      <c r="I23" s="1"/>
      <c r="J23" s="1"/>
      <c r="K23" s="1"/>
      <c r="L23" s="1"/>
      <c r="M23" s="1"/>
      <c r="N23" s="150"/>
      <c r="P23" s="584" t="s">
        <v>60</v>
      </c>
      <c r="Q23" s="324" t="s">
        <v>82</v>
      </c>
      <c r="R23" s="4"/>
      <c r="S23" s="4"/>
      <c r="T23" s="132"/>
    </row>
    <row r="24" spans="1:25" s="144" customFormat="1" ht="21" customHeight="1">
      <c r="A24" s="51"/>
      <c r="B24" s="164"/>
      <c r="C24" s="607"/>
      <c r="E24" s="781" t="s">
        <v>3</v>
      </c>
      <c r="F24" s="782"/>
      <c r="G24" s="1201"/>
      <c r="H24" s="1201"/>
      <c r="I24" s="2388"/>
      <c r="J24" s="2389"/>
      <c r="K24" s="2389"/>
      <c r="L24" s="2389"/>
      <c r="M24" s="2390"/>
      <c r="N24" s="150"/>
      <c r="P24" s="615"/>
      <c r="Q24" s="324"/>
      <c r="R24" s="4"/>
      <c r="S24" s="4"/>
      <c r="T24" s="132"/>
      <c r="U24" s="615"/>
      <c r="V24" s="132"/>
      <c r="W24" s="132"/>
      <c r="X24" s="132"/>
      <c r="Y24" s="132"/>
    </row>
    <row r="25" spans="1:25" s="144" customFormat="1" ht="16.5" customHeight="1" thickBot="1">
      <c r="A25" s="51"/>
      <c r="B25" s="164"/>
      <c r="C25" s="607"/>
      <c r="E25" s="152" t="s">
        <v>1077</v>
      </c>
      <c r="F25" s="417"/>
      <c r="G25" s="417"/>
      <c r="H25" s="417"/>
      <c r="I25" s="1786"/>
      <c r="J25" s="1860"/>
      <c r="K25" s="1860"/>
      <c r="L25" s="1860"/>
      <c r="M25" s="1860"/>
      <c r="N25" s="150"/>
      <c r="P25" s="1861"/>
      <c r="Q25" s="1862"/>
      <c r="R25" s="37"/>
      <c r="S25" s="37"/>
      <c r="U25" s="1861"/>
    </row>
    <row r="26" spans="1:25" s="144" customFormat="1" ht="21" customHeight="1" thickBot="1">
      <c r="A26" s="51"/>
      <c r="B26" s="164"/>
      <c r="C26" s="607"/>
      <c r="E26" s="1863" t="s">
        <v>1002</v>
      </c>
      <c r="F26" s="2520" t="s">
        <v>1078</v>
      </c>
      <c r="G26" s="2521"/>
      <c r="H26" s="2521"/>
      <c r="I26" s="2521"/>
      <c r="J26" s="2521"/>
      <c r="K26" s="2521"/>
      <c r="L26" s="2521"/>
      <c r="M26" s="2468"/>
      <c r="N26" s="150"/>
      <c r="P26" s="1861"/>
      <c r="Q26" s="1862"/>
      <c r="R26" s="37"/>
      <c r="S26" s="37"/>
      <c r="U26" s="1861"/>
    </row>
    <row r="27" spans="1:25" ht="14.25" customHeight="1">
      <c r="A27" s="1"/>
      <c r="B27" s="627"/>
      <c r="C27" s="36"/>
      <c r="D27" s="36"/>
      <c r="E27" s="162"/>
      <c r="F27" s="296"/>
      <c r="G27" s="296"/>
      <c r="H27" s="296"/>
      <c r="I27" s="296"/>
      <c r="J27" s="150"/>
      <c r="K27" s="150"/>
      <c r="L27" s="150"/>
      <c r="M27" s="150"/>
      <c r="N27" s="1"/>
      <c r="O27" s="144"/>
      <c r="P27" s="615"/>
      <c r="Q27" s="324"/>
      <c r="T27" s="132"/>
      <c r="U27" s="615"/>
      <c r="V27" s="132"/>
      <c r="W27" s="132"/>
      <c r="X27" s="132"/>
      <c r="Y27" s="132"/>
    </row>
    <row r="28" spans="1:25" ht="14.25" customHeight="1" thickBot="1">
      <c r="A28" s="1"/>
      <c r="B28" s="627"/>
      <c r="C28" s="36"/>
      <c r="D28" s="1059" t="s">
        <v>357</v>
      </c>
      <c r="E28" s="162"/>
      <c r="F28" s="296"/>
      <c r="G28" s="296"/>
      <c r="H28" s="296"/>
      <c r="I28" s="296"/>
      <c r="J28" s="150"/>
      <c r="K28" s="150"/>
      <c r="L28" s="150"/>
      <c r="M28" s="150"/>
      <c r="N28" s="1"/>
      <c r="O28" s="144"/>
      <c r="P28" s="615"/>
      <c r="Q28" s="324"/>
      <c r="T28" s="132"/>
      <c r="U28" s="615"/>
      <c r="V28" s="132"/>
      <c r="W28" s="132"/>
      <c r="X28" s="132"/>
      <c r="Y28" s="132"/>
    </row>
    <row r="29" spans="1:25" s="327" customFormat="1" ht="16.5" customHeight="1" thickBot="1">
      <c r="A29" s="22"/>
      <c r="B29" s="627"/>
      <c r="C29" s="147"/>
      <c r="D29" s="1051">
        <f>IF(D30+L39&lt;=5,D30+L39,5)</f>
        <v>3</v>
      </c>
      <c r="E29" s="147"/>
      <c r="F29" s="150"/>
      <c r="G29" s="24"/>
      <c r="H29" s="24"/>
      <c r="I29" s="150"/>
      <c r="J29" s="150"/>
      <c r="K29" s="150"/>
      <c r="L29" s="176" t="s">
        <v>2</v>
      </c>
      <c r="M29" s="48">
        <f>重み!M66</f>
        <v>0</v>
      </c>
      <c r="N29" s="22"/>
      <c r="O29" s="144">
        <f>C29</f>
        <v>0</v>
      </c>
      <c r="P29" s="144" t="str">
        <f>D28</f>
        <v>1.1.2　鉄骨系住宅</v>
      </c>
      <c r="Q29" s="144">
        <f t="shared" ref="Q29:W29" si="1">E29</f>
        <v>0</v>
      </c>
      <c r="R29" s="144">
        <f t="shared" si="1"/>
        <v>0</v>
      </c>
      <c r="S29" s="144" t="str">
        <f>L29</f>
        <v>重み係数＝</v>
      </c>
      <c r="T29" s="144">
        <f>M29</f>
        <v>0</v>
      </c>
      <c r="U29" s="144">
        <f t="shared" si="1"/>
        <v>0</v>
      </c>
      <c r="V29" s="144">
        <f t="shared" si="1"/>
        <v>0</v>
      </c>
      <c r="W29" s="144">
        <f t="shared" si="1"/>
        <v>0</v>
      </c>
      <c r="X29" s="144" t="e">
        <f>#REF!</f>
        <v>#REF!</v>
      </c>
      <c r="Y29" s="144" t="e">
        <f>#REF!</f>
        <v>#REF!</v>
      </c>
    </row>
    <row r="30" spans="1:25" ht="16.5" customHeight="1" thickBot="1">
      <c r="A30" s="1"/>
      <c r="B30" s="627"/>
      <c r="C30" s="36"/>
      <c r="D30" s="1049">
        <v>3</v>
      </c>
      <c r="E30" s="2391" t="s">
        <v>391</v>
      </c>
      <c r="F30" s="2392"/>
      <c r="G30" s="2392"/>
      <c r="H30" s="2392"/>
      <c r="I30" s="2392"/>
      <c r="J30" s="2392"/>
      <c r="K30" s="2392"/>
      <c r="L30" s="2392"/>
      <c r="M30" s="2393"/>
      <c r="N30" s="22"/>
      <c r="O30" s="142"/>
      <c r="P30" s="144"/>
      <c r="Q30" s="142"/>
      <c r="R30" s="144"/>
      <c r="S30" s="144"/>
      <c r="T30" s="144"/>
      <c r="U30" s="144"/>
      <c r="V30" s="144"/>
      <c r="W30" s="144"/>
      <c r="X30" s="144"/>
      <c r="Y30" s="144"/>
    </row>
    <row r="31" spans="1:25" ht="16.5" customHeight="1">
      <c r="A31" s="1"/>
      <c r="B31" s="627"/>
      <c r="C31" s="36"/>
      <c r="D31" s="32" t="str">
        <f>IF(D30=$Q$18,$R$13,IF(ROUNDDOWN(D30,0)=$Q$13,$S$13,$R$13))</f>
        <v>　レベル　1</v>
      </c>
      <c r="E31" s="522" t="s">
        <v>383</v>
      </c>
      <c r="F31" s="580"/>
      <c r="G31" s="580"/>
      <c r="H31" s="580"/>
      <c r="I31" s="580"/>
      <c r="J31" s="580"/>
      <c r="K31" s="580"/>
      <c r="L31" s="580"/>
      <c r="M31" s="581"/>
      <c r="N31" s="22"/>
      <c r="O31" s="142"/>
      <c r="P31" s="584" t="s">
        <v>60</v>
      </c>
      <c r="Q31" s="142"/>
      <c r="R31" s="300"/>
      <c r="S31" s="144"/>
      <c r="T31" s="144"/>
      <c r="U31" s="584">
        <f>$Q$13</f>
        <v>1</v>
      </c>
      <c r="V31" s="300"/>
      <c r="W31" s="300"/>
      <c r="X31" s="144"/>
      <c r="Y31" s="144"/>
    </row>
    <row r="32" spans="1:25" ht="16.5" customHeight="1">
      <c r="A32" s="1"/>
      <c r="B32" s="627"/>
      <c r="C32" s="36"/>
      <c r="D32" s="35" t="str">
        <f>IF(D30=$Q$18,$R$14,IF(ROUNDDOWN(D30,0)=$Q$14,$S$14,$R$14))</f>
        <v>　レベル　2</v>
      </c>
      <c r="E32" s="523" t="s">
        <v>383</v>
      </c>
      <c r="F32" s="582"/>
      <c r="G32" s="582"/>
      <c r="H32" s="582"/>
      <c r="I32" s="582"/>
      <c r="J32" s="582"/>
      <c r="K32" s="582"/>
      <c r="L32" s="582"/>
      <c r="M32" s="583"/>
      <c r="N32" s="22"/>
      <c r="O32" s="142"/>
      <c r="P32" s="584" t="s">
        <v>812</v>
      </c>
      <c r="Q32" s="142"/>
      <c r="R32" s="300"/>
      <c r="S32" s="144"/>
      <c r="T32" s="144"/>
      <c r="U32" s="584">
        <f>$Q$14</f>
        <v>2</v>
      </c>
      <c r="V32" s="300"/>
      <c r="W32" s="300"/>
      <c r="X32" s="144"/>
      <c r="Y32" s="144"/>
    </row>
    <row r="33" spans="1:25" ht="16.5" customHeight="1">
      <c r="A33" s="1"/>
      <c r="B33" s="627"/>
      <c r="C33" s="36"/>
      <c r="D33" s="35" t="str">
        <f>IF(D30=$Q$18,$R$15,IF(ROUNDDOWN(D30,0)=$Q$15,$S$15,$R$15))</f>
        <v>■レベル　3</v>
      </c>
      <c r="E33" s="523" t="s">
        <v>1177</v>
      </c>
      <c r="F33" s="582"/>
      <c r="G33" s="582"/>
      <c r="H33" s="582"/>
      <c r="I33" s="582"/>
      <c r="J33" s="582"/>
      <c r="K33" s="582"/>
      <c r="L33" s="582"/>
      <c r="M33" s="583"/>
      <c r="N33" s="22"/>
      <c r="O33" s="142"/>
      <c r="P33" s="584">
        <f>$Q$15</f>
        <v>3</v>
      </c>
      <c r="Q33" s="142"/>
      <c r="R33" s="300"/>
      <c r="S33" s="144"/>
      <c r="T33" s="144"/>
      <c r="U33" s="584">
        <f>$Q$15</f>
        <v>3</v>
      </c>
      <c r="V33" s="300"/>
      <c r="W33" s="300"/>
      <c r="X33" s="144"/>
      <c r="Y33" s="144"/>
    </row>
    <row r="34" spans="1:25" ht="16.5" customHeight="1">
      <c r="A34" s="1"/>
      <c r="B34" s="627"/>
      <c r="C34" s="36"/>
      <c r="D34" s="35" t="str">
        <f>IF(D30=$Q$18,$R$16,IF(ROUNDDOWN(D30,0)=$Q$16,$S$16,$R$16))</f>
        <v>　レベル　4</v>
      </c>
      <c r="E34" s="535" t="s">
        <v>321</v>
      </c>
      <c r="F34" s="585"/>
      <c r="G34" s="585"/>
      <c r="H34" s="585"/>
      <c r="I34" s="585"/>
      <c r="J34" s="585"/>
      <c r="K34" s="585"/>
      <c r="L34" s="585"/>
      <c r="M34" s="586"/>
      <c r="N34" s="22"/>
      <c r="O34" s="142"/>
      <c r="P34" s="584">
        <f>$Q$16</f>
        <v>4</v>
      </c>
      <c r="Q34" s="142"/>
      <c r="R34" s="300"/>
      <c r="S34" s="144"/>
      <c r="T34" s="144"/>
      <c r="U34" s="584">
        <f>$Q$16</f>
        <v>4</v>
      </c>
      <c r="V34" s="300"/>
      <c r="W34" s="300"/>
      <c r="X34" s="144"/>
      <c r="Y34" s="144"/>
    </row>
    <row r="35" spans="1:25" ht="16.5" customHeight="1">
      <c r="A35" s="1"/>
      <c r="B35" s="627"/>
      <c r="C35" s="36"/>
      <c r="D35" s="33" t="str">
        <f>IF(D30=$Q$18,$R$17,IF(ROUNDDOWN(D30,0)=$Q$17,$S$17,$R$17))</f>
        <v>　レベル　5</v>
      </c>
      <c r="E35" s="561" t="s">
        <v>322</v>
      </c>
      <c r="F35" s="587"/>
      <c r="G35" s="587"/>
      <c r="H35" s="587"/>
      <c r="I35" s="587"/>
      <c r="J35" s="587"/>
      <c r="K35" s="587"/>
      <c r="L35" s="587"/>
      <c r="M35" s="588"/>
      <c r="N35" s="1"/>
      <c r="O35" s="142"/>
      <c r="P35" s="584">
        <f>$Q$17</f>
        <v>5</v>
      </c>
      <c r="Q35" s="142"/>
      <c r="R35" s="300"/>
      <c r="S35" s="144"/>
      <c r="T35" s="144"/>
      <c r="U35" s="584">
        <f>$Q$17</f>
        <v>5</v>
      </c>
      <c r="V35" s="300"/>
      <c r="W35" s="300"/>
      <c r="X35" s="144"/>
      <c r="Y35" s="144"/>
    </row>
    <row r="36" spans="1:25" ht="16.5" customHeight="1" thickBot="1">
      <c r="A36" s="1"/>
      <c r="B36" s="627"/>
      <c r="C36" s="36"/>
      <c r="D36" s="36"/>
      <c r="E36" s="1058" t="s">
        <v>360</v>
      </c>
      <c r="F36" s="296"/>
      <c r="G36" s="296"/>
      <c r="H36" s="296"/>
      <c r="I36" s="296"/>
      <c r="J36" s="150"/>
      <c r="K36" s="150"/>
      <c r="L36" s="150"/>
      <c r="M36" s="150"/>
      <c r="N36" s="1"/>
      <c r="O36" s="144"/>
      <c r="P36" s="584" t="s">
        <v>60</v>
      </c>
      <c r="Q36" s="324" t="s">
        <v>82</v>
      </c>
      <c r="T36" s="132"/>
      <c r="U36" s="584" t="str">
        <f>$Q$18</f>
        <v>対象外</v>
      </c>
      <c r="V36" s="132"/>
      <c r="W36" s="132"/>
      <c r="X36" s="132"/>
      <c r="Y36" s="132"/>
    </row>
    <row r="37" spans="1:25" ht="16.5" thickBot="1">
      <c r="A37" s="1"/>
      <c r="B37" s="164"/>
      <c r="C37" s="34"/>
      <c r="D37" s="38"/>
      <c r="E37" s="956"/>
      <c r="F37" s="955" t="s">
        <v>1175</v>
      </c>
      <c r="G37" s="542"/>
      <c r="H37" s="542"/>
      <c r="I37" s="542"/>
      <c r="J37" s="542"/>
      <c r="K37" s="542"/>
      <c r="L37" s="542"/>
      <c r="M37" s="530"/>
      <c r="N37" s="133"/>
      <c r="P37" s="615"/>
      <c r="T37" s="598"/>
      <c r="U37" s="615"/>
    </row>
    <row r="38" spans="1:25" ht="15.75" hidden="1">
      <c r="A38" s="1"/>
      <c r="B38" s="164"/>
      <c r="C38" s="34"/>
      <c r="D38" s="38"/>
      <c r="E38" s="796"/>
      <c r="F38" s="139"/>
      <c r="G38" s="528"/>
      <c r="H38" s="528"/>
      <c r="I38" s="528"/>
      <c r="J38" s="528"/>
      <c r="K38" s="528"/>
      <c r="L38" s="528"/>
      <c r="M38" s="527"/>
      <c r="N38" s="133"/>
      <c r="P38" s="615"/>
      <c r="T38" s="598"/>
      <c r="U38" s="615"/>
    </row>
    <row r="39" spans="1:25" ht="15.75">
      <c r="A39" s="1"/>
      <c r="B39" s="164"/>
      <c r="C39" s="34"/>
      <c r="D39" s="38"/>
      <c r="E39" s="806"/>
      <c r="F39" s="528"/>
      <c r="G39" s="528"/>
      <c r="H39" s="528"/>
      <c r="I39" s="528"/>
      <c r="J39" s="528"/>
      <c r="K39" s="528" t="s">
        <v>377</v>
      </c>
      <c r="L39" s="1057">
        <f>IF(E37="過半",2)+IF(E37="一部",1)</f>
        <v>0</v>
      </c>
      <c r="M39" s="527" t="s">
        <v>378</v>
      </c>
      <c r="N39" s="133"/>
      <c r="P39" s="615"/>
      <c r="T39" s="598"/>
      <c r="U39" s="615"/>
    </row>
    <row r="40" spans="1:25" s="144" customFormat="1" ht="8.25" customHeight="1">
      <c r="A40" s="51"/>
      <c r="B40" s="164"/>
      <c r="C40" s="607"/>
      <c r="D40" s="309"/>
      <c r="E40" s="309"/>
      <c r="F40" s="1"/>
      <c r="G40" s="1"/>
      <c r="H40" s="1"/>
      <c r="I40" s="1"/>
      <c r="J40" s="1"/>
      <c r="K40" s="1"/>
      <c r="L40" s="1"/>
      <c r="M40" s="1"/>
      <c r="N40" s="150"/>
      <c r="P40" s="584" t="s">
        <v>60</v>
      </c>
      <c r="Q40" s="324" t="s">
        <v>82</v>
      </c>
      <c r="R40" s="4"/>
      <c r="S40" s="4"/>
      <c r="T40" s="132"/>
    </row>
    <row r="41" spans="1:25" s="144" customFormat="1" ht="21" customHeight="1">
      <c r="A41" s="51"/>
      <c r="B41" s="164"/>
      <c r="C41" s="607"/>
      <c r="E41" s="781" t="s">
        <v>3</v>
      </c>
      <c r="F41" s="782"/>
      <c r="G41" s="1201"/>
      <c r="H41" s="1201"/>
      <c r="I41" s="2388"/>
      <c r="J41" s="2389"/>
      <c r="K41" s="2389"/>
      <c r="L41" s="2389"/>
      <c r="M41" s="2390"/>
      <c r="N41" s="150"/>
      <c r="P41" s="615"/>
      <c r="Q41" s="324"/>
      <c r="R41" s="4"/>
      <c r="S41" s="4"/>
      <c r="T41" s="132"/>
      <c r="U41" s="615"/>
      <c r="V41" s="132"/>
      <c r="W41" s="132"/>
      <c r="X41" s="132"/>
      <c r="Y41" s="132"/>
    </row>
    <row r="42" spans="1:25" ht="14.25" customHeight="1">
      <c r="A42" s="1"/>
      <c r="B42" s="627"/>
      <c r="C42" s="36"/>
      <c r="D42" s="36"/>
      <c r="E42" s="162"/>
      <c r="F42" s="296"/>
      <c r="G42" s="296"/>
      <c r="H42" s="296"/>
      <c r="I42" s="296"/>
      <c r="J42" s="150"/>
      <c r="K42" s="150"/>
      <c r="L42" s="150"/>
      <c r="M42" s="150"/>
      <c r="N42" s="1"/>
      <c r="O42" s="142"/>
      <c r="P42" s="615"/>
      <c r="Q42" s="142"/>
      <c r="R42" s="300"/>
      <c r="S42" s="144"/>
      <c r="T42" s="144"/>
      <c r="U42" s="615"/>
      <c r="V42" s="300"/>
      <c r="W42" s="300"/>
      <c r="X42" s="144"/>
      <c r="Y42" s="300"/>
    </row>
    <row r="43" spans="1:25" s="327" customFormat="1" ht="13.5" customHeight="1" thickBot="1">
      <c r="A43" s="22"/>
      <c r="B43" s="627"/>
      <c r="C43" s="147"/>
      <c r="D43" s="1059" t="s">
        <v>358</v>
      </c>
      <c r="E43" s="147"/>
      <c r="F43" s="150"/>
      <c r="G43" s="24"/>
      <c r="H43" s="24"/>
      <c r="I43" s="150"/>
      <c r="J43" s="150"/>
      <c r="K43" s="150"/>
      <c r="L43" s="176" t="s">
        <v>2</v>
      </c>
      <c r="M43" s="48">
        <f>重み!M67</f>
        <v>0</v>
      </c>
      <c r="N43" s="22"/>
      <c r="O43" s="144">
        <f>C43</f>
        <v>0</v>
      </c>
      <c r="P43" s="144" t="str">
        <f>D43</f>
        <v>1.1.3　コンクリート系住宅</v>
      </c>
      <c r="Q43" s="144">
        <f>E43</f>
        <v>0</v>
      </c>
      <c r="R43" s="144">
        <f>F43</f>
        <v>0</v>
      </c>
      <c r="S43" s="144" t="str">
        <f>L43</f>
        <v>重み係数＝</v>
      </c>
      <c r="T43" s="144">
        <f>M43</f>
        <v>0</v>
      </c>
      <c r="U43" s="144">
        <f>I43</f>
        <v>0</v>
      </c>
      <c r="V43" s="144">
        <f>J43</f>
        <v>0</v>
      </c>
      <c r="W43" s="144">
        <f>K43</f>
        <v>0</v>
      </c>
      <c r="X43" s="144" t="e">
        <f>#REF!</f>
        <v>#REF!</v>
      </c>
      <c r="Y43" s="132">
        <f>メイン!N55</f>
        <v>0</v>
      </c>
    </row>
    <row r="44" spans="1:25" ht="15" thickBot="1">
      <c r="A44" s="1"/>
      <c r="B44" s="627"/>
      <c r="C44" s="36"/>
      <c r="D44" s="1050">
        <f>ROUND(IF(F54=0,3,IF(F54&lt;=1,4,5)),0)</f>
        <v>3</v>
      </c>
      <c r="E44" s="2391" t="s">
        <v>391</v>
      </c>
      <c r="F44" s="2392"/>
      <c r="G44" s="2392"/>
      <c r="H44" s="2392"/>
      <c r="I44" s="2392"/>
      <c r="J44" s="2392"/>
      <c r="K44" s="2392"/>
      <c r="L44" s="2392"/>
      <c r="M44" s="2393"/>
      <c r="N44" s="22"/>
      <c r="O44" s="142"/>
      <c r="P44" s="144"/>
      <c r="Q44" s="142"/>
      <c r="R44" s="144"/>
      <c r="S44" s="144"/>
      <c r="T44" s="144"/>
      <c r="U44" s="144"/>
      <c r="V44" s="144"/>
      <c r="W44" s="144"/>
      <c r="X44" s="144"/>
      <c r="Y44" s="132">
        <f>M44</f>
        <v>0</v>
      </c>
    </row>
    <row r="45" spans="1:25" ht="14.25" customHeight="1">
      <c r="A45" s="1"/>
      <c r="B45" s="627"/>
      <c r="C45" s="36"/>
      <c r="D45" s="32" t="str">
        <f>IF(D44=$Q$18,$R$13,IF(ROUNDDOWN(D44,0)=$Q$13,$S$13,$R$13))</f>
        <v>　レベル　1</v>
      </c>
      <c r="E45" s="522" t="s">
        <v>383</v>
      </c>
      <c r="F45" s="580"/>
      <c r="G45" s="580"/>
      <c r="H45" s="580"/>
      <c r="I45" s="580"/>
      <c r="J45" s="580"/>
      <c r="K45" s="580"/>
      <c r="L45" s="580"/>
      <c r="M45" s="581"/>
      <c r="N45" s="22"/>
      <c r="O45" s="142"/>
      <c r="P45" s="584" t="s">
        <v>48</v>
      </c>
      <c r="Q45" s="142"/>
      <c r="R45" s="300"/>
      <c r="S45" s="144"/>
      <c r="T45" s="144"/>
      <c r="U45" s="584">
        <f>$Q$13</f>
        <v>1</v>
      </c>
      <c r="V45" s="300"/>
      <c r="W45" s="300"/>
      <c r="X45" s="144"/>
      <c r="Y45" s="132"/>
    </row>
    <row r="46" spans="1:25" ht="14.25" customHeight="1">
      <c r="A46" s="1"/>
      <c r="B46" s="627"/>
      <c r="C46" s="36"/>
      <c r="D46" s="35" t="str">
        <f>IF(D44=$Q$18,$R$14,IF(ROUNDDOWN(D44,0)=$Q$14,$S$14,$R$14))</f>
        <v>　レベル　2</v>
      </c>
      <c r="E46" s="523" t="s">
        <v>383</v>
      </c>
      <c r="F46" s="582"/>
      <c r="G46" s="582"/>
      <c r="H46" s="582"/>
      <c r="I46" s="582"/>
      <c r="J46" s="582"/>
      <c r="K46" s="582"/>
      <c r="L46" s="582"/>
      <c r="M46" s="583"/>
      <c r="N46" s="22"/>
      <c r="O46" s="142"/>
      <c r="P46" s="584" t="s">
        <v>48</v>
      </c>
      <c r="Q46" s="142"/>
      <c r="R46" s="300"/>
      <c r="S46" s="144"/>
      <c r="T46" s="144"/>
      <c r="U46" s="584">
        <f>$Q$14</f>
        <v>2</v>
      </c>
      <c r="V46" s="300"/>
      <c r="W46" s="300"/>
      <c r="X46" s="144"/>
      <c r="Y46" s="132"/>
    </row>
    <row r="47" spans="1:25" ht="14.25" customHeight="1">
      <c r="A47" s="1"/>
      <c r="B47" s="627"/>
      <c r="C47" s="36"/>
      <c r="D47" s="35" t="str">
        <f>IF(D44=$Q$18,$R$15,IF(ROUNDDOWN(D44,0)=$Q$15,$S$15,$R$15))</f>
        <v>■レベル　3</v>
      </c>
      <c r="E47" s="523" t="s">
        <v>1178</v>
      </c>
      <c r="F47" s="582"/>
      <c r="G47" s="582"/>
      <c r="H47" s="582"/>
      <c r="I47" s="582"/>
      <c r="J47" s="582"/>
      <c r="K47" s="582"/>
      <c r="L47" s="582"/>
      <c r="M47" s="583"/>
      <c r="N47" s="22"/>
      <c r="O47" s="142"/>
      <c r="P47" s="584">
        <f>$Q$15</f>
        <v>3</v>
      </c>
      <c r="Q47" s="142"/>
      <c r="R47" s="300"/>
      <c r="S47" s="144"/>
      <c r="T47" s="144"/>
      <c r="U47" s="584">
        <f>$Q$15</f>
        <v>3</v>
      </c>
      <c r="V47" s="300"/>
      <c r="W47" s="300"/>
      <c r="X47" s="144"/>
      <c r="Y47" s="132"/>
    </row>
    <row r="48" spans="1:25" ht="14.25" customHeight="1">
      <c r="A48" s="1"/>
      <c r="B48" s="627"/>
      <c r="C48" s="36"/>
      <c r="D48" s="35" t="str">
        <f>IF(D44=$Q$18,$R$16,IF(ROUNDDOWN(D44,0)=$Q$16,$S$16,$R$16))</f>
        <v>　レベル　4</v>
      </c>
      <c r="E48" s="535" t="s">
        <v>1179</v>
      </c>
      <c r="F48" s="585"/>
      <c r="G48" s="585"/>
      <c r="H48" s="585"/>
      <c r="I48" s="585"/>
      <c r="J48" s="585"/>
      <c r="K48" s="585"/>
      <c r="L48" s="585"/>
      <c r="M48" s="586"/>
      <c r="N48" s="22"/>
      <c r="O48" s="142"/>
      <c r="P48" s="584">
        <f>$Q$16</f>
        <v>4</v>
      </c>
      <c r="Q48" s="142"/>
      <c r="R48" s="300"/>
      <c r="S48" s="144"/>
      <c r="T48" s="144"/>
      <c r="U48" s="584">
        <f>$Q$16</f>
        <v>4</v>
      </c>
      <c r="V48" s="300"/>
      <c r="W48" s="300"/>
      <c r="X48" s="144"/>
      <c r="Y48" s="132"/>
    </row>
    <row r="49" spans="1:25" ht="14.25" customHeight="1">
      <c r="A49" s="1"/>
      <c r="B49" s="627"/>
      <c r="C49" s="36"/>
      <c r="D49" s="33" t="str">
        <f>IF(D44=$Q$18,$R$17,IF(ROUNDDOWN(D44,0)=$Q$17,$S$17,$R$17))</f>
        <v>　レベル　5</v>
      </c>
      <c r="E49" s="561" t="s">
        <v>1180</v>
      </c>
      <c r="F49" s="587"/>
      <c r="G49" s="587"/>
      <c r="H49" s="587"/>
      <c r="I49" s="587"/>
      <c r="J49" s="587"/>
      <c r="K49" s="587"/>
      <c r="L49" s="587"/>
      <c r="M49" s="588"/>
      <c r="N49" s="1"/>
      <c r="O49" s="142"/>
      <c r="P49" s="584">
        <f>$Q$17</f>
        <v>5</v>
      </c>
      <c r="Q49" s="142"/>
      <c r="R49" s="300"/>
      <c r="S49" s="144"/>
      <c r="T49" s="144"/>
      <c r="U49" s="584">
        <f>$Q$17</f>
        <v>5</v>
      </c>
      <c r="V49" s="300"/>
      <c r="W49" s="300"/>
      <c r="X49" s="144"/>
      <c r="Y49" s="132"/>
    </row>
    <row r="50" spans="1:25" ht="16.5" customHeight="1">
      <c r="A50" s="1"/>
      <c r="B50" s="627"/>
      <c r="C50" s="36"/>
      <c r="D50" s="36"/>
      <c r="E50" s="152" t="s">
        <v>32</v>
      </c>
      <c r="F50" s="51"/>
      <c r="G50" s="151"/>
      <c r="H50" s="40"/>
      <c r="I50" s="40"/>
      <c r="J50" s="51"/>
      <c r="K50" s="51"/>
      <c r="L50" s="51"/>
      <c r="M50" s="51"/>
      <c r="N50" s="1"/>
      <c r="O50" s="142"/>
      <c r="P50" s="584" t="str">
        <f>$Q$18</f>
        <v>対象外</v>
      </c>
      <c r="Q50" s="142"/>
      <c r="R50" s="300"/>
      <c r="S50" s="144"/>
      <c r="T50" s="144"/>
      <c r="U50" s="584" t="str">
        <f>$Q$18</f>
        <v>対象外</v>
      </c>
      <c r="V50" s="300"/>
      <c r="W50" s="300"/>
      <c r="X50" s="144"/>
      <c r="Y50" s="132"/>
    </row>
    <row r="51" spans="1:25" ht="16.5" customHeight="1" thickBot="1">
      <c r="A51" s="1"/>
      <c r="B51" s="627"/>
      <c r="C51" s="36"/>
      <c r="D51" s="36"/>
      <c r="E51" s="140" t="s">
        <v>331</v>
      </c>
      <c r="F51" s="511" t="s">
        <v>70</v>
      </c>
      <c r="G51" s="545" t="s">
        <v>74</v>
      </c>
      <c r="H51" s="546"/>
      <c r="I51" s="546"/>
      <c r="J51" s="546"/>
      <c r="K51" s="546"/>
      <c r="L51" s="546"/>
      <c r="M51" s="547"/>
      <c r="N51" s="1"/>
      <c r="O51" s="132"/>
      <c r="P51" s="380"/>
      <c r="Q51" s="380"/>
      <c r="R51" s="380"/>
      <c r="S51" s="380"/>
      <c r="T51" s="380"/>
      <c r="U51" s="380"/>
      <c r="V51" s="132"/>
      <c r="W51" s="132"/>
      <c r="X51" s="132"/>
      <c r="Y51" s="132"/>
    </row>
    <row r="52" spans="1:25" ht="24" customHeight="1">
      <c r="A52" s="1"/>
      <c r="B52" s="627"/>
      <c r="C52" s="36"/>
      <c r="D52" s="36"/>
      <c r="E52" s="375"/>
      <c r="F52" s="512">
        <v>1</v>
      </c>
      <c r="G52" s="2400" t="s">
        <v>1181</v>
      </c>
      <c r="H52" s="2401"/>
      <c r="I52" s="2401"/>
      <c r="J52" s="2401"/>
      <c r="K52" s="2401"/>
      <c r="L52" s="2401"/>
      <c r="M52" s="2402"/>
      <c r="N52" s="1"/>
      <c r="O52" s="132"/>
      <c r="P52" s="380"/>
      <c r="Q52" s="380"/>
      <c r="R52" s="380"/>
      <c r="S52" s="380"/>
      <c r="T52" s="380"/>
      <c r="U52" s="380"/>
      <c r="V52" s="132"/>
      <c r="W52" s="132"/>
      <c r="X52" s="132"/>
      <c r="Y52" s="132"/>
    </row>
    <row r="53" spans="1:25" ht="24" customHeight="1" thickBot="1">
      <c r="A53" s="1"/>
      <c r="B53" s="627"/>
      <c r="C53" s="36"/>
      <c r="D53" s="36"/>
      <c r="E53" s="376"/>
      <c r="F53" s="550">
        <v>2</v>
      </c>
      <c r="G53" s="2403" t="s">
        <v>1182</v>
      </c>
      <c r="H53" s="2404"/>
      <c r="I53" s="2404"/>
      <c r="J53" s="2404"/>
      <c r="K53" s="2404"/>
      <c r="L53" s="2404"/>
      <c r="M53" s="2405"/>
      <c r="N53" s="1"/>
      <c r="O53" s="132"/>
      <c r="P53" s="380"/>
      <c r="Q53" s="380"/>
      <c r="R53" s="380"/>
      <c r="S53" s="380"/>
      <c r="T53" s="380"/>
      <c r="U53" s="380"/>
      <c r="V53" s="132"/>
      <c r="W53" s="132"/>
      <c r="X53" s="132"/>
      <c r="Y53" s="132"/>
    </row>
    <row r="54" spans="1:25" ht="16.5" customHeight="1">
      <c r="A54" s="1"/>
      <c r="B54" s="377"/>
      <c r="C54" s="608"/>
      <c r="D54" s="608"/>
      <c r="E54" s="596" t="s">
        <v>456</v>
      </c>
      <c r="F54" s="1020">
        <f>COUNTIF(E52:E53,"○")</f>
        <v>0</v>
      </c>
      <c r="G54" s="1022"/>
      <c r="H54" s="1022"/>
      <c r="I54" s="370"/>
      <c r="J54" s="371"/>
      <c r="K54" s="370"/>
      <c r="L54" s="371"/>
      <c r="M54" s="372"/>
      <c r="N54" s="1"/>
      <c r="O54" s="132"/>
      <c r="P54" s="380"/>
      <c r="Q54" s="380"/>
      <c r="R54" s="380"/>
      <c r="S54" s="380"/>
      <c r="T54" s="380"/>
      <c r="U54" s="380"/>
      <c r="V54" s="132"/>
      <c r="W54" s="132"/>
      <c r="X54" s="132"/>
      <c r="Y54" s="132"/>
    </row>
    <row r="55" spans="1:25" s="144" customFormat="1" ht="8.25" customHeight="1">
      <c r="A55" s="51"/>
      <c r="B55" s="164"/>
      <c r="C55" s="607"/>
      <c r="D55" s="309"/>
      <c r="E55" s="309"/>
      <c r="F55" s="1"/>
      <c r="G55" s="1"/>
      <c r="H55" s="1"/>
      <c r="I55" s="1"/>
      <c r="J55" s="1"/>
      <c r="K55" s="1"/>
      <c r="L55" s="1"/>
      <c r="M55" s="1"/>
      <c r="N55" s="150"/>
      <c r="P55" s="584" t="s">
        <v>60</v>
      </c>
      <c r="Q55" s="324" t="s">
        <v>82</v>
      </c>
      <c r="R55" s="4"/>
      <c r="S55" s="4"/>
      <c r="T55" s="132"/>
    </row>
    <row r="56" spans="1:25" s="144" customFormat="1" ht="21" customHeight="1">
      <c r="A56" s="51"/>
      <c r="B56" s="164"/>
      <c r="C56" s="607"/>
      <c r="E56" s="781" t="s">
        <v>3</v>
      </c>
      <c r="F56" s="782"/>
      <c r="G56" s="1201"/>
      <c r="H56" s="1201"/>
      <c r="I56" s="2388"/>
      <c r="J56" s="2389"/>
      <c r="K56" s="2389"/>
      <c r="L56" s="2389"/>
      <c r="M56" s="2390"/>
      <c r="N56" s="150"/>
      <c r="P56" s="615"/>
      <c r="Q56" s="324"/>
      <c r="R56" s="4"/>
      <c r="S56" s="4"/>
      <c r="T56" s="132"/>
      <c r="U56" s="615"/>
      <c r="V56" s="132"/>
      <c r="W56" s="132"/>
      <c r="X56" s="132"/>
      <c r="Y56" s="132"/>
    </row>
    <row r="57" spans="1:25" ht="14.25" customHeight="1">
      <c r="A57" s="1"/>
      <c r="B57" s="627"/>
      <c r="C57" s="36"/>
      <c r="D57" s="36"/>
      <c r="E57" s="36"/>
      <c r="F57" s="36"/>
      <c r="G57" s="36"/>
      <c r="H57" s="36"/>
      <c r="I57" s="36"/>
      <c r="J57" s="36"/>
      <c r="K57" s="36"/>
      <c r="L57" s="36"/>
      <c r="M57" s="36"/>
      <c r="N57" s="1"/>
      <c r="O57" s="132"/>
      <c r="P57" s="380"/>
      <c r="Q57" s="380"/>
      <c r="R57" s="380"/>
      <c r="S57" s="380"/>
      <c r="T57" s="380"/>
      <c r="U57" s="380"/>
      <c r="V57" s="132"/>
      <c r="W57" s="132"/>
      <c r="X57" s="132"/>
      <c r="Y57" s="132"/>
    </row>
    <row r="58" spans="1:25" s="327" customFormat="1" ht="14.25" customHeight="1">
      <c r="A58" s="22"/>
      <c r="B58" s="1061">
        <v>1.2</v>
      </c>
      <c r="C58" s="147" t="s">
        <v>512</v>
      </c>
      <c r="D58" s="147"/>
      <c r="E58" s="150"/>
      <c r="F58" s="310"/>
      <c r="G58" s="150"/>
      <c r="H58" s="150"/>
      <c r="I58" s="150"/>
      <c r="J58" s="310"/>
      <c r="K58" s="150"/>
      <c r="L58" s="150"/>
      <c r="M58" s="150"/>
      <c r="N58" s="22"/>
      <c r="O58" s="132"/>
      <c r="V58" s="132"/>
      <c r="W58" s="132"/>
      <c r="X58" s="132"/>
      <c r="Y58" s="132"/>
    </row>
    <row r="59" spans="1:25" ht="16.5" customHeight="1" thickBot="1">
      <c r="A59" s="1"/>
      <c r="B59" s="627"/>
      <c r="C59" s="36"/>
      <c r="D59" s="135"/>
      <c r="E59" s="147"/>
      <c r="F59" s="150"/>
      <c r="G59" s="5"/>
      <c r="H59" s="5"/>
      <c r="I59" s="150"/>
      <c r="J59" s="414"/>
      <c r="K59" s="414"/>
      <c r="L59" s="176" t="s">
        <v>2</v>
      </c>
      <c r="M59" s="173">
        <f>重み!M68</f>
        <v>0.2</v>
      </c>
      <c r="N59" s="1"/>
      <c r="O59" s="144">
        <f>C59</f>
        <v>0</v>
      </c>
      <c r="P59" s="144">
        <f>D59</f>
        <v>0</v>
      </c>
      <c r="Q59" s="144">
        <f>E59</f>
        <v>0</v>
      </c>
      <c r="R59" s="144">
        <f>F59</f>
        <v>0</v>
      </c>
      <c r="S59" s="144" t="str">
        <f>L59</f>
        <v>重み係数＝</v>
      </c>
      <c r="T59" s="144">
        <f>M59</f>
        <v>0.2</v>
      </c>
      <c r="U59" s="144">
        <f>I59</f>
        <v>0</v>
      </c>
      <c r="V59" s="144">
        <f>J59</f>
        <v>0</v>
      </c>
      <c r="W59" s="144">
        <f>K59</f>
        <v>0</v>
      </c>
      <c r="X59" s="144" t="e">
        <f>#REF!</f>
        <v>#REF!</v>
      </c>
      <c r="Y59" s="132"/>
    </row>
    <row r="60" spans="1:25" ht="16.5" customHeight="1" thickBot="1">
      <c r="A60" s="1"/>
      <c r="B60" s="627"/>
      <c r="C60" s="36"/>
      <c r="D60" s="1050">
        <f>ROUND(IF(F71=0,3,IF(F71&lt;=1,4,5)),0)</f>
        <v>3</v>
      </c>
      <c r="E60" s="2391" t="s">
        <v>391</v>
      </c>
      <c r="F60" s="2392"/>
      <c r="G60" s="2392"/>
      <c r="H60" s="2392"/>
      <c r="I60" s="2392"/>
      <c r="J60" s="2392"/>
      <c r="K60" s="2392"/>
      <c r="L60" s="2392"/>
      <c r="M60" s="2393"/>
      <c r="N60" s="1"/>
      <c r="O60" s="142"/>
      <c r="P60" s="144"/>
      <c r="Q60" s="142"/>
      <c r="R60" s="144"/>
      <c r="S60" s="144"/>
      <c r="T60" s="144"/>
      <c r="U60" s="144"/>
      <c r="V60" s="144"/>
      <c r="W60" s="144"/>
      <c r="X60" s="144"/>
    </row>
    <row r="61" spans="1:25" ht="16.5" customHeight="1">
      <c r="A61" s="1"/>
      <c r="B61" s="627"/>
      <c r="C61" s="36"/>
      <c r="D61" s="32" t="str">
        <f>IF(D60=$Q$18,$R$13,IF(ROUNDDOWN(D60,0)=$Q$13,$S$13,$R$13))</f>
        <v>　レベル　1</v>
      </c>
      <c r="E61" s="522" t="s">
        <v>383</v>
      </c>
      <c r="F61" s="580"/>
      <c r="G61" s="580"/>
      <c r="H61" s="580"/>
      <c r="I61" s="580"/>
      <c r="J61" s="580"/>
      <c r="K61" s="580"/>
      <c r="L61" s="580"/>
      <c r="M61" s="581"/>
      <c r="N61" s="1"/>
      <c r="O61" s="142"/>
      <c r="P61" s="584" t="s">
        <v>48</v>
      </c>
      <c r="Q61" s="142"/>
      <c r="R61" s="300"/>
      <c r="S61" s="144"/>
      <c r="T61" s="144"/>
      <c r="U61" s="584">
        <f>$Q$13</f>
        <v>1</v>
      </c>
      <c r="V61" s="300"/>
      <c r="W61" s="300"/>
      <c r="X61" s="144"/>
    </row>
    <row r="62" spans="1:25" ht="16.5" customHeight="1">
      <c r="A62" s="1"/>
      <c r="B62" s="627"/>
      <c r="C62" s="36"/>
      <c r="D62" s="35" t="str">
        <f>IF(D60=$Q$18,$R$14,IF(ROUNDDOWN(D60,0)=$Q$14,$S$14,$R$14))</f>
        <v>　レベル　2</v>
      </c>
      <c r="E62" s="523" t="s">
        <v>383</v>
      </c>
      <c r="F62" s="582"/>
      <c r="G62" s="582"/>
      <c r="H62" s="582"/>
      <c r="I62" s="582"/>
      <c r="J62" s="582"/>
      <c r="K62" s="582"/>
      <c r="L62" s="582"/>
      <c r="M62" s="583"/>
      <c r="N62" s="1"/>
      <c r="O62" s="142"/>
      <c r="P62" s="584" t="s">
        <v>48</v>
      </c>
      <c r="Q62" s="142"/>
      <c r="R62" s="300"/>
      <c r="S62" s="144"/>
      <c r="T62" s="144"/>
      <c r="U62" s="584">
        <f>$Q$14</f>
        <v>2</v>
      </c>
      <c r="V62" s="300"/>
      <c r="W62" s="300"/>
      <c r="X62" s="144"/>
    </row>
    <row r="63" spans="1:25" ht="16.5" customHeight="1">
      <c r="A63" s="1"/>
      <c r="B63" s="627"/>
      <c r="C63" s="36"/>
      <c r="D63" s="35" t="str">
        <f>IF(D60=$Q$18,$R$15,IF(ROUNDDOWN(D60,0)=$Q$15,$S$15,$R$15))</f>
        <v>■レベル　3</v>
      </c>
      <c r="E63" s="523" t="s">
        <v>1183</v>
      </c>
      <c r="F63" s="582"/>
      <c r="G63" s="582"/>
      <c r="H63" s="582"/>
      <c r="I63" s="582"/>
      <c r="J63" s="582"/>
      <c r="K63" s="582"/>
      <c r="L63" s="582"/>
      <c r="M63" s="583"/>
      <c r="N63" s="1"/>
      <c r="O63" s="142"/>
      <c r="P63" s="584">
        <f>$Q$15</f>
        <v>3</v>
      </c>
      <c r="Q63" s="142"/>
      <c r="R63" s="300"/>
      <c r="S63" s="144"/>
      <c r="T63" s="144"/>
      <c r="U63" s="584">
        <f>$Q$15</f>
        <v>3</v>
      </c>
      <c r="V63" s="300"/>
      <c r="W63" s="300"/>
      <c r="X63" s="144"/>
    </row>
    <row r="64" spans="1:25" ht="16.5" customHeight="1">
      <c r="A64" s="1"/>
      <c r="B64" s="627"/>
      <c r="C64" s="36"/>
      <c r="D64" s="35" t="str">
        <f>IF(D60=$Q$18,$R$16,IF(ROUNDDOWN(D60,0)=$Q$16,$S$16,$R$16))</f>
        <v>　レベル　4</v>
      </c>
      <c r="E64" s="535" t="s">
        <v>1184</v>
      </c>
      <c r="F64" s="585"/>
      <c r="G64" s="585"/>
      <c r="H64" s="585"/>
      <c r="I64" s="585"/>
      <c r="J64" s="585"/>
      <c r="K64" s="585"/>
      <c r="L64" s="585"/>
      <c r="M64" s="586"/>
      <c r="N64" s="1"/>
      <c r="O64" s="142"/>
      <c r="P64" s="584">
        <f>$Q$16</f>
        <v>4</v>
      </c>
      <c r="Q64" s="142"/>
      <c r="R64" s="300"/>
      <c r="S64" s="144"/>
      <c r="T64" s="144"/>
      <c r="U64" s="584">
        <f>$Q$16</f>
        <v>4</v>
      </c>
      <c r="V64" s="300"/>
      <c r="W64" s="300"/>
      <c r="X64" s="144"/>
    </row>
    <row r="65" spans="1:256" ht="16.5" customHeight="1">
      <c r="A65" s="1"/>
      <c r="B65" s="627"/>
      <c r="C65" s="36"/>
      <c r="D65" s="33" t="str">
        <f>IF(D60=$Q$18,$R$17,IF(ROUNDDOWN(D60,0)=$Q$17,$S$17,$R$17))</f>
        <v>　レベル　5</v>
      </c>
      <c r="E65" s="561" t="s">
        <v>1185</v>
      </c>
      <c r="F65" s="587"/>
      <c r="G65" s="587"/>
      <c r="H65" s="587"/>
      <c r="I65" s="587"/>
      <c r="J65" s="587"/>
      <c r="K65" s="587"/>
      <c r="L65" s="587"/>
      <c r="M65" s="588"/>
      <c r="N65" s="1"/>
      <c r="O65" s="142"/>
      <c r="P65" s="584">
        <f>$Q$17</f>
        <v>5</v>
      </c>
      <c r="Q65" s="142"/>
      <c r="R65" s="300"/>
      <c r="S65" s="144"/>
      <c r="T65" s="144"/>
      <c r="U65" s="584">
        <f>$Q$17</f>
        <v>5</v>
      </c>
      <c r="V65" s="300"/>
      <c r="W65" s="300"/>
      <c r="X65" s="144"/>
    </row>
    <row r="66" spans="1:256" ht="16.5" customHeight="1">
      <c r="A66" s="1"/>
      <c r="B66" s="627"/>
      <c r="C66" s="36"/>
      <c r="D66" s="36"/>
      <c r="E66" s="152" t="s">
        <v>32</v>
      </c>
      <c r="F66" s="51"/>
      <c r="G66" s="151"/>
      <c r="H66" s="40"/>
      <c r="I66" s="40"/>
      <c r="J66" s="51"/>
      <c r="K66" s="51"/>
      <c r="L66" s="51"/>
      <c r="M66" s="51"/>
      <c r="N66" s="1"/>
      <c r="O66" s="142"/>
      <c r="P66" s="584" t="s">
        <v>60</v>
      </c>
      <c r="Q66" s="142"/>
      <c r="R66" s="142"/>
      <c r="S66" s="142"/>
      <c r="T66" s="142"/>
      <c r="U66" s="584" t="str">
        <f>$Q$18</f>
        <v>対象外</v>
      </c>
      <c r="V66" s="142"/>
      <c r="W66" s="300"/>
      <c r="X66" s="144"/>
    </row>
    <row r="67" spans="1:256" ht="16.5" customHeight="1" thickBot="1">
      <c r="A67" s="1"/>
      <c r="B67" s="627"/>
      <c r="C67" s="36"/>
      <c r="D67" s="36"/>
      <c r="E67" s="140" t="s">
        <v>331</v>
      </c>
      <c r="F67" s="511" t="s">
        <v>70</v>
      </c>
      <c r="G67" s="545" t="s">
        <v>74</v>
      </c>
      <c r="H67" s="546"/>
      <c r="I67" s="546"/>
      <c r="J67" s="546"/>
      <c r="K67" s="546"/>
      <c r="L67" s="546"/>
      <c r="M67" s="547"/>
      <c r="N67" s="1"/>
      <c r="O67" s="142"/>
      <c r="P67" s="142"/>
      <c r="Q67" s="142"/>
      <c r="R67" s="142"/>
      <c r="S67" s="142"/>
      <c r="T67" s="142"/>
      <c r="U67" s="142"/>
      <c r="V67" s="142"/>
      <c r="W67" s="300"/>
      <c r="X67" s="144"/>
    </row>
    <row r="68" spans="1:256" ht="16.5" customHeight="1">
      <c r="A68" s="1"/>
      <c r="B68" s="627"/>
      <c r="C68" s="36"/>
      <c r="D68" s="36"/>
      <c r="E68" s="375"/>
      <c r="F68" s="512">
        <v>1</v>
      </c>
      <c r="G68" s="595" t="s">
        <v>1186</v>
      </c>
      <c r="H68" s="573"/>
      <c r="I68" s="573"/>
      <c r="J68" s="573"/>
      <c r="K68" s="573"/>
      <c r="L68" s="573"/>
      <c r="M68" s="529"/>
      <c r="N68" s="1"/>
      <c r="O68" s="142"/>
      <c r="P68" s="142"/>
      <c r="Q68" s="142"/>
      <c r="R68" s="142"/>
      <c r="S68" s="142"/>
      <c r="T68" s="142"/>
      <c r="U68" s="142"/>
      <c r="V68" s="142"/>
      <c r="W68" s="300"/>
      <c r="X68" s="144"/>
    </row>
    <row r="69" spans="1:256" ht="16.5" customHeight="1">
      <c r="A69" s="1"/>
      <c r="B69" s="627"/>
      <c r="C69" s="36"/>
      <c r="D69" s="36"/>
      <c r="E69" s="533"/>
      <c r="F69" s="548">
        <v>2</v>
      </c>
      <c r="G69" s="523" t="s">
        <v>100</v>
      </c>
      <c r="H69" s="534"/>
      <c r="I69" s="534"/>
      <c r="J69" s="534"/>
      <c r="K69" s="534"/>
      <c r="L69" s="534"/>
      <c r="M69" s="538"/>
      <c r="N69" s="1"/>
      <c r="O69" s="142"/>
      <c r="P69" s="142"/>
      <c r="Q69" s="142"/>
      <c r="R69" s="142"/>
      <c r="S69" s="142"/>
      <c r="T69" s="142"/>
      <c r="U69" s="142"/>
      <c r="V69" s="142"/>
      <c r="W69" s="300"/>
      <c r="X69" s="144"/>
    </row>
    <row r="70" spans="1:256" ht="16.5" customHeight="1" thickBot="1">
      <c r="A70" s="1"/>
      <c r="B70" s="627"/>
      <c r="C70" s="36"/>
      <c r="D70" s="36"/>
      <c r="E70" s="571"/>
      <c r="F70" s="550">
        <v>3</v>
      </c>
      <c r="G70" s="524" t="s">
        <v>1187</v>
      </c>
      <c r="H70" s="528"/>
      <c r="I70" s="528"/>
      <c r="J70" s="528"/>
      <c r="K70" s="528"/>
      <c r="L70" s="528"/>
      <c r="M70" s="527"/>
      <c r="N70" s="1"/>
      <c r="O70" s="142"/>
      <c r="P70" s="142"/>
      <c r="Q70" s="142"/>
      <c r="R70" s="142"/>
      <c r="S70" s="142"/>
      <c r="T70" s="142"/>
      <c r="U70" s="142"/>
      <c r="V70" s="142"/>
      <c r="W70" s="300"/>
      <c r="X70" s="144"/>
    </row>
    <row r="71" spans="1:256" ht="16.5" customHeight="1">
      <c r="A71" s="1"/>
      <c r="B71" s="377"/>
      <c r="C71" s="608"/>
      <c r="D71" s="608"/>
      <c r="E71" s="596" t="s">
        <v>248</v>
      </c>
      <c r="F71" s="1020">
        <f>COUNTIF(E68:E70,"○")</f>
        <v>0</v>
      </c>
      <c r="G71" s="1022"/>
      <c r="H71" s="1022"/>
      <c r="I71" s="370"/>
      <c r="J71" s="371"/>
      <c r="K71" s="370"/>
      <c r="L71" s="371"/>
      <c r="M71" s="372"/>
      <c r="N71" s="1"/>
      <c r="O71" s="142"/>
      <c r="P71" s="142"/>
      <c r="Q71" s="142"/>
      <c r="R71" s="142"/>
      <c r="S71" s="142"/>
      <c r="T71" s="142"/>
      <c r="U71" s="142"/>
      <c r="V71" s="142"/>
      <c r="W71" s="300"/>
      <c r="X71" s="144"/>
    </row>
    <row r="72" spans="1:256" s="144" customFormat="1" ht="8.25" customHeight="1">
      <c r="A72" s="51"/>
      <c r="B72" s="164"/>
      <c r="C72" s="607"/>
      <c r="D72" s="309"/>
      <c r="E72" s="309"/>
      <c r="F72" s="1"/>
      <c r="G72" s="1"/>
      <c r="H72" s="1"/>
      <c r="I72" s="1"/>
      <c r="J72" s="1"/>
      <c r="K72" s="1"/>
      <c r="L72" s="1"/>
      <c r="M72" s="1"/>
      <c r="N72" s="150"/>
      <c r="P72" s="584" t="s">
        <v>60</v>
      </c>
      <c r="Q72" s="324" t="s">
        <v>82</v>
      </c>
      <c r="R72" s="4"/>
      <c r="S72" s="4"/>
      <c r="T72" s="132"/>
    </row>
    <row r="73" spans="1:256" s="144" customFormat="1" ht="21" customHeight="1">
      <c r="A73" s="51"/>
      <c r="B73" s="164"/>
      <c r="C73" s="607"/>
      <c r="E73" s="781" t="s">
        <v>3</v>
      </c>
      <c r="F73" s="782"/>
      <c r="G73" s="1201"/>
      <c r="H73" s="1201"/>
      <c r="I73" s="2388"/>
      <c r="J73" s="2389"/>
      <c r="K73" s="2389"/>
      <c r="L73" s="2389"/>
      <c r="M73" s="2390"/>
      <c r="N73" s="150"/>
      <c r="P73" s="615"/>
      <c r="Q73" s="324"/>
      <c r="R73" s="4"/>
      <c r="S73" s="4"/>
      <c r="T73" s="132"/>
      <c r="U73" s="615"/>
      <c r="V73" s="132"/>
      <c r="W73" s="132"/>
      <c r="X73" s="132"/>
      <c r="Y73" s="132"/>
    </row>
    <row r="74" spans="1:256" ht="14.25" customHeight="1">
      <c r="A74" s="1"/>
      <c r="B74" s="627"/>
      <c r="C74" s="36"/>
      <c r="D74" s="36"/>
      <c r="E74" s="36"/>
      <c r="F74" s="36"/>
      <c r="G74" s="36"/>
      <c r="H74" s="36"/>
      <c r="I74" s="36"/>
      <c r="J74" s="36"/>
      <c r="K74" s="36"/>
      <c r="L74" s="36"/>
      <c r="M74" s="36"/>
      <c r="N74" s="36"/>
      <c r="O74" s="142"/>
      <c r="P74" s="142"/>
      <c r="Q74" s="142"/>
      <c r="R74" s="142"/>
      <c r="S74" s="142"/>
      <c r="T74" s="142"/>
      <c r="U74" s="142"/>
      <c r="V74" s="142"/>
      <c r="W74" s="300"/>
      <c r="X74" s="144"/>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8"/>
      <c r="BZ74" s="598"/>
      <c r="CA74" s="598"/>
      <c r="CB74" s="598"/>
      <c r="CC74" s="598"/>
      <c r="CD74" s="598"/>
      <c r="CE74" s="598"/>
      <c r="CF74" s="598"/>
      <c r="CG74" s="598"/>
      <c r="CH74" s="598"/>
      <c r="CI74" s="598"/>
      <c r="CJ74" s="598"/>
      <c r="CK74" s="598"/>
      <c r="CL74" s="598"/>
      <c r="CM74" s="598"/>
      <c r="CN74" s="598"/>
      <c r="CO74" s="598"/>
      <c r="CP74" s="598"/>
      <c r="CQ74" s="598"/>
      <c r="CR74" s="598"/>
      <c r="CS74" s="598"/>
      <c r="CT74" s="598"/>
      <c r="CU74" s="598"/>
      <c r="CV74" s="598"/>
      <c r="CW74" s="598"/>
      <c r="CX74" s="598"/>
      <c r="CY74" s="598"/>
      <c r="CZ74" s="598"/>
      <c r="DA74" s="598"/>
      <c r="DB74" s="598"/>
      <c r="DC74" s="598"/>
      <c r="DD74" s="598"/>
      <c r="DE74" s="598"/>
      <c r="DF74" s="598"/>
      <c r="DG74" s="598"/>
      <c r="DH74" s="598"/>
      <c r="DI74" s="598"/>
      <c r="DJ74" s="598"/>
      <c r="DK74" s="598"/>
      <c r="DL74" s="598"/>
      <c r="DM74" s="598"/>
      <c r="DN74" s="598"/>
      <c r="DO74" s="598"/>
      <c r="DP74" s="598"/>
      <c r="DQ74" s="598"/>
      <c r="DR74" s="598"/>
      <c r="DS74" s="598"/>
      <c r="DT74" s="598"/>
      <c r="DU74" s="598"/>
      <c r="DV74" s="598"/>
      <c r="DW74" s="598"/>
      <c r="DX74" s="598"/>
      <c r="DY74" s="598"/>
      <c r="DZ74" s="598"/>
      <c r="EA74" s="598"/>
      <c r="EB74" s="598"/>
      <c r="EC74" s="598"/>
      <c r="ED74" s="598"/>
      <c r="EE74" s="598"/>
      <c r="EF74" s="598"/>
      <c r="EG74" s="598"/>
      <c r="EH74" s="598"/>
      <c r="EI74" s="598"/>
      <c r="EJ74" s="598"/>
      <c r="EK74" s="598"/>
      <c r="EL74" s="598"/>
      <c r="EM74" s="598"/>
      <c r="EN74" s="598"/>
      <c r="EO74" s="598"/>
      <c r="EP74" s="598"/>
      <c r="EQ74" s="598"/>
      <c r="ER74" s="598"/>
      <c r="ES74" s="598"/>
      <c r="ET74" s="598"/>
      <c r="EU74" s="598"/>
      <c r="EV74" s="598"/>
      <c r="EW74" s="598"/>
      <c r="EX74" s="598"/>
      <c r="EY74" s="598"/>
      <c r="EZ74" s="598"/>
      <c r="FA74" s="598"/>
      <c r="FB74" s="598"/>
      <c r="FC74" s="598"/>
      <c r="FD74" s="598"/>
      <c r="FE74" s="598"/>
      <c r="FF74" s="598"/>
      <c r="FG74" s="598"/>
      <c r="FH74" s="598"/>
      <c r="FI74" s="598"/>
      <c r="FJ74" s="598"/>
      <c r="FK74" s="598"/>
      <c r="FL74" s="598"/>
      <c r="FM74" s="598"/>
      <c r="FN74" s="598"/>
      <c r="FO74" s="598"/>
      <c r="FP74" s="598"/>
      <c r="FQ74" s="598"/>
      <c r="FR74" s="598"/>
      <c r="FS74" s="598"/>
      <c r="FT74" s="598"/>
      <c r="FU74" s="598"/>
      <c r="FV74" s="598"/>
      <c r="FW74" s="598"/>
      <c r="FX74" s="598"/>
      <c r="FY74" s="598"/>
      <c r="FZ74" s="598"/>
      <c r="GA74" s="598"/>
      <c r="GB74" s="598"/>
      <c r="GC74" s="598"/>
      <c r="GD74" s="598"/>
      <c r="GE74" s="598"/>
      <c r="GF74" s="598"/>
      <c r="GG74" s="598"/>
      <c r="GH74" s="598"/>
      <c r="GI74" s="598"/>
      <c r="GJ74" s="598"/>
      <c r="GK74" s="598"/>
      <c r="GL74" s="598"/>
      <c r="GM74" s="598"/>
      <c r="GN74" s="598"/>
      <c r="GO74" s="598"/>
      <c r="GP74" s="598"/>
      <c r="GQ74" s="598"/>
      <c r="GR74" s="598"/>
      <c r="GS74" s="598"/>
      <c r="GT74" s="598"/>
      <c r="GU74" s="598"/>
      <c r="GV74" s="598"/>
      <c r="GW74" s="598"/>
      <c r="GX74" s="598"/>
      <c r="GY74" s="598"/>
      <c r="GZ74" s="598"/>
      <c r="HA74" s="598"/>
      <c r="HB74" s="598"/>
      <c r="HC74" s="598"/>
      <c r="HD74" s="598"/>
      <c r="HE74" s="598"/>
      <c r="HF74" s="598"/>
      <c r="HG74" s="598"/>
      <c r="HH74" s="598"/>
      <c r="HI74" s="598"/>
      <c r="HJ74" s="598"/>
      <c r="HK74" s="598"/>
      <c r="HL74" s="598"/>
      <c r="HM74" s="598"/>
      <c r="HN74" s="598"/>
      <c r="HO74" s="598"/>
      <c r="HP74" s="598"/>
      <c r="HQ74" s="598"/>
      <c r="HR74" s="598"/>
      <c r="HS74" s="598"/>
      <c r="HT74" s="598"/>
      <c r="HU74" s="598"/>
      <c r="HV74" s="598"/>
      <c r="HW74" s="598"/>
      <c r="HX74" s="598"/>
      <c r="HY74" s="598"/>
      <c r="HZ74" s="598"/>
      <c r="IA74" s="598"/>
      <c r="IB74" s="598"/>
      <c r="IC74" s="598"/>
      <c r="ID74" s="598"/>
      <c r="IE74" s="598"/>
      <c r="IF74" s="598"/>
      <c r="IG74" s="598"/>
      <c r="IH74" s="598"/>
      <c r="II74" s="598"/>
      <c r="IJ74" s="598"/>
      <c r="IK74" s="598"/>
      <c r="IL74" s="598"/>
      <c r="IM74" s="598"/>
      <c r="IN74" s="598"/>
      <c r="IO74" s="598"/>
      <c r="IP74" s="598"/>
      <c r="IQ74" s="598"/>
      <c r="IR74" s="598"/>
      <c r="IS74" s="598"/>
      <c r="IT74" s="598"/>
      <c r="IU74" s="598"/>
      <c r="IV74" s="598"/>
    </row>
    <row r="75" spans="1:256" s="327" customFormat="1" ht="14.25" customHeight="1">
      <c r="A75" s="22"/>
      <c r="B75" s="1061">
        <v>1.3</v>
      </c>
      <c r="C75" s="147" t="s">
        <v>323</v>
      </c>
      <c r="D75" s="147"/>
      <c r="E75" s="150"/>
      <c r="F75" s="310"/>
      <c r="G75" s="150"/>
      <c r="H75" s="150"/>
      <c r="I75" s="36"/>
      <c r="J75" s="36"/>
      <c r="K75" s="36"/>
      <c r="L75" s="36"/>
      <c r="M75" s="36"/>
      <c r="N75" s="22"/>
      <c r="O75" s="132"/>
      <c r="V75" s="132"/>
      <c r="W75" s="132"/>
      <c r="X75" s="132"/>
      <c r="Y75" s="132"/>
    </row>
    <row r="76" spans="1:256" s="327" customFormat="1" ht="14.25" customHeight="1" thickBot="1">
      <c r="A76" s="22"/>
      <c r="B76" s="563"/>
      <c r="C76" s="147"/>
      <c r="D76" s="147"/>
      <c r="E76" s="150"/>
      <c r="F76" s="310"/>
      <c r="G76" s="150"/>
      <c r="H76" s="150"/>
      <c r="I76" s="36"/>
      <c r="J76" s="36"/>
      <c r="K76" s="36"/>
      <c r="L76" s="36"/>
      <c r="M76" s="36"/>
      <c r="N76" s="22"/>
      <c r="O76" s="132"/>
      <c r="V76" s="132"/>
      <c r="W76" s="132"/>
      <c r="X76" s="132"/>
      <c r="Y76" s="132"/>
    </row>
    <row r="77" spans="1:256" ht="16.5" customHeight="1" thickBot="1">
      <c r="A77" s="1"/>
      <c r="B77" s="627"/>
      <c r="C77" s="36"/>
      <c r="D77" s="1051">
        <f>IF(D78+L97&lt;=5,D78+L97,5)</f>
        <v>3</v>
      </c>
      <c r="E77" s="147"/>
      <c r="F77" s="150"/>
      <c r="G77" s="5"/>
      <c r="H77" s="5"/>
      <c r="I77" s="36"/>
      <c r="J77" s="36"/>
      <c r="K77" s="36"/>
      <c r="L77" s="176" t="s">
        <v>2</v>
      </c>
      <c r="M77" s="173">
        <f>重み!M69</f>
        <v>0.2</v>
      </c>
      <c r="N77" s="1"/>
      <c r="O77" s="144">
        <f>C77</f>
        <v>0</v>
      </c>
      <c r="P77" s="144">
        <f>D77</f>
        <v>3</v>
      </c>
      <c r="Q77" s="144">
        <f>E77</f>
        <v>0</v>
      </c>
      <c r="R77" s="144">
        <f>F77</f>
        <v>0</v>
      </c>
      <c r="S77" s="144" t="str">
        <f>L77</f>
        <v>重み係数＝</v>
      </c>
      <c r="T77" s="144">
        <f>M77</f>
        <v>0.2</v>
      </c>
      <c r="U77" s="144">
        <f>I77</f>
        <v>0</v>
      </c>
      <c r="V77" s="144">
        <f>J77</f>
        <v>0</v>
      </c>
      <c r="W77" s="144">
        <f>K77</f>
        <v>0</v>
      </c>
      <c r="X77" s="144" t="e">
        <f>#REF!</f>
        <v>#REF!</v>
      </c>
      <c r="Y77" s="132"/>
    </row>
    <row r="78" spans="1:256" ht="16.5" customHeight="1" thickBot="1">
      <c r="A78" s="1"/>
      <c r="B78" s="627"/>
      <c r="C78" s="36"/>
      <c r="D78" s="1049">
        <f>IF(M92&lt;0.4,1,IF(M92&lt;0.6,3,IF(M92&lt;0.8,4,5)))</f>
        <v>3</v>
      </c>
      <c r="E78" s="2391" t="s">
        <v>391</v>
      </c>
      <c r="F78" s="2392"/>
      <c r="G78" s="2392"/>
      <c r="H78" s="2392"/>
      <c r="I78" s="2392"/>
      <c r="J78" s="2392"/>
      <c r="K78" s="2392"/>
      <c r="L78" s="2392"/>
      <c r="M78" s="2393"/>
      <c r="N78" s="1"/>
      <c r="O78" s="142"/>
      <c r="P78" s="144"/>
      <c r="Q78" s="142"/>
      <c r="R78" s="144"/>
      <c r="S78" s="144"/>
      <c r="T78" s="144"/>
      <c r="U78" s="144"/>
      <c r="V78" s="144"/>
      <c r="W78" s="144"/>
      <c r="X78" s="144"/>
    </row>
    <row r="79" spans="1:256" ht="16.5" customHeight="1">
      <c r="A79" s="1"/>
      <c r="B79" s="627"/>
      <c r="C79" s="36"/>
      <c r="D79" s="32" t="str">
        <f>IF(D78=$Q$18,$R$13,IF(ROUNDDOWN(D78,0)=$Q$13,$S$13,$R$13))</f>
        <v>　レベル　1</v>
      </c>
      <c r="E79" s="522" t="s">
        <v>319</v>
      </c>
      <c r="F79" s="580"/>
      <c r="G79" s="580"/>
      <c r="H79" s="580"/>
      <c r="I79" s="580"/>
      <c r="J79" s="580"/>
      <c r="K79" s="580"/>
      <c r="L79" s="580"/>
      <c r="M79" s="581"/>
      <c r="N79" s="1"/>
      <c r="O79" s="142"/>
      <c r="P79" s="584">
        <f>$Q$13</f>
        <v>1</v>
      </c>
      <c r="Q79" s="142"/>
      <c r="R79" s="300"/>
      <c r="S79" s="144"/>
      <c r="T79" s="144"/>
      <c r="U79" s="584">
        <f>$Q$13</f>
        <v>1</v>
      </c>
      <c r="V79" s="300"/>
      <c r="W79" s="300"/>
      <c r="X79" s="144"/>
    </row>
    <row r="80" spans="1:256" ht="16.5" customHeight="1">
      <c r="A80" s="1"/>
      <c r="B80" s="627"/>
      <c r="C80" s="36"/>
      <c r="D80" s="35" t="str">
        <f>IF(D78=$Q$18,$R$14,IF(ROUNDDOWN(D78,0)=$Q$14,$S$14,$R$14))</f>
        <v>　レベル　2</v>
      </c>
      <c r="E80" s="523" t="s">
        <v>650</v>
      </c>
      <c r="F80" s="582"/>
      <c r="G80" s="582"/>
      <c r="H80" s="582"/>
      <c r="I80" s="582"/>
      <c r="J80" s="582"/>
      <c r="K80" s="582"/>
      <c r="L80" s="582"/>
      <c r="M80" s="583"/>
      <c r="N80" s="1"/>
      <c r="O80" s="142"/>
      <c r="P80" s="584" t="s">
        <v>48</v>
      </c>
      <c r="Q80" s="142"/>
      <c r="R80" s="300"/>
      <c r="S80" s="144"/>
      <c r="T80" s="144"/>
      <c r="U80" s="584">
        <f>$Q$14</f>
        <v>2</v>
      </c>
      <c r="V80" s="300"/>
      <c r="W80" s="300"/>
      <c r="X80" s="144"/>
    </row>
    <row r="81" spans="1:256" ht="16.5" customHeight="1">
      <c r="A81" s="1"/>
      <c r="B81" s="627"/>
      <c r="C81" s="36"/>
      <c r="D81" s="35" t="str">
        <f>IF(D78=$Q$18,$R$15,IF(ROUNDDOWN(D78,0)=$Q$15,$S$15,$R$15))</f>
        <v>■レベル　3</v>
      </c>
      <c r="E81" s="523" t="s">
        <v>22</v>
      </c>
      <c r="F81" s="582"/>
      <c r="G81" s="582"/>
      <c r="H81" s="582"/>
      <c r="I81" s="582"/>
      <c r="J81" s="582"/>
      <c r="K81" s="582"/>
      <c r="L81" s="582"/>
      <c r="M81" s="583"/>
      <c r="N81" s="1"/>
      <c r="O81" s="142"/>
      <c r="P81" s="584">
        <f>$Q$15</f>
        <v>3</v>
      </c>
      <c r="Q81" s="142"/>
      <c r="R81" s="300"/>
      <c r="S81" s="144"/>
      <c r="T81" s="144"/>
      <c r="U81" s="584">
        <f>$Q$15</f>
        <v>3</v>
      </c>
      <c r="V81" s="300"/>
      <c r="W81" s="300"/>
      <c r="X81" s="144"/>
    </row>
    <row r="82" spans="1:256" ht="16.5" customHeight="1">
      <c r="A82" s="1"/>
      <c r="B82" s="627"/>
      <c r="C82" s="36"/>
      <c r="D82" s="35" t="str">
        <f>IF(D78=$Q$18,$R$16,IF(ROUNDDOWN(D78,0)=$Q$16,$S$16,$R$16))</f>
        <v>　レベル　4</v>
      </c>
      <c r="E82" s="535" t="s">
        <v>23</v>
      </c>
      <c r="F82" s="585"/>
      <c r="G82" s="585"/>
      <c r="H82" s="585"/>
      <c r="I82" s="585"/>
      <c r="J82" s="585"/>
      <c r="K82" s="585"/>
      <c r="L82" s="585"/>
      <c r="M82" s="586"/>
      <c r="N82" s="1"/>
      <c r="O82" s="142"/>
      <c r="P82" s="584">
        <f>$Q$16</f>
        <v>4</v>
      </c>
      <c r="Q82" s="142"/>
      <c r="R82" s="300"/>
      <c r="S82" s="144"/>
      <c r="T82" s="144"/>
      <c r="U82" s="584">
        <f>$Q$16</f>
        <v>4</v>
      </c>
      <c r="V82" s="300"/>
      <c r="W82" s="300"/>
      <c r="X82" s="144"/>
    </row>
    <row r="83" spans="1:256" ht="16.5" customHeight="1">
      <c r="A83" s="1"/>
      <c r="B83" s="627"/>
      <c r="C83" s="36"/>
      <c r="D83" s="33" t="str">
        <f>IF(D78=$Q$18,$R$17,IF(ROUNDDOWN(D78,0)=$Q$17,$S$17,$R$17))</f>
        <v>　レベル　5</v>
      </c>
      <c r="E83" s="561" t="s">
        <v>24</v>
      </c>
      <c r="F83" s="587"/>
      <c r="G83" s="587"/>
      <c r="H83" s="587"/>
      <c r="I83" s="587"/>
      <c r="J83" s="587"/>
      <c r="K83" s="587"/>
      <c r="L83" s="587"/>
      <c r="M83" s="588"/>
      <c r="N83" s="1"/>
      <c r="O83" s="142"/>
      <c r="P83" s="584">
        <f>$Q$17</f>
        <v>5</v>
      </c>
      <c r="Q83" s="142"/>
      <c r="R83" s="300"/>
      <c r="S83" s="144"/>
      <c r="T83" s="144"/>
      <c r="U83" s="584">
        <f>$Q$17</f>
        <v>5</v>
      </c>
      <c r="V83" s="300"/>
      <c r="W83" s="300"/>
      <c r="X83" s="144"/>
    </row>
    <row r="84" spans="1:256" ht="16.5" customHeight="1">
      <c r="A84" s="1"/>
      <c r="B84" s="627"/>
      <c r="C84" s="36"/>
      <c r="D84" s="36"/>
      <c r="E84" s="152" t="s">
        <v>32</v>
      </c>
      <c r="F84" s="28"/>
      <c r="G84" s="28"/>
      <c r="H84" s="28"/>
      <c r="I84" s="28"/>
      <c r="J84" s="28"/>
      <c r="K84" s="28"/>
      <c r="L84" s="150"/>
      <c r="M84" s="150"/>
      <c r="N84" s="36"/>
      <c r="O84" s="142"/>
      <c r="P84" s="584" t="s">
        <v>796</v>
      </c>
      <c r="Q84" s="142"/>
      <c r="R84" s="300"/>
      <c r="S84" s="144"/>
      <c r="T84" s="144"/>
      <c r="U84" s="584" t="str">
        <f>$Q$18</f>
        <v>対象外</v>
      </c>
      <c r="V84" s="300"/>
      <c r="W84" s="300"/>
      <c r="X84" s="144"/>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8"/>
      <c r="AY84" s="598"/>
      <c r="AZ84" s="598"/>
      <c r="BA84" s="598"/>
      <c r="BB84" s="598"/>
      <c r="BC84" s="598"/>
      <c r="BD84" s="598"/>
      <c r="BE84" s="598"/>
      <c r="BF84" s="598"/>
      <c r="BG84" s="598"/>
      <c r="BH84" s="598"/>
      <c r="BI84" s="598"/>
      <c r="BJ84" s="598"/>
      <c r="BK84" s="598"/>
      <c r="BL84" s="598"/>
      <c r="BM84" s="598"/>
      <c r="BN84" s="598"/>
      <c r="BO84" s="598"/>
      <c r="BP84" s="598"/>
      <c r="BQ84" s="598"/>
      <c r="BR84" s="598"/>
      <c r="BS84" s="598"/>
      <c r="BT84" s="598"/>
      <c r="BU84" s="598"/>
      <c r="BV84" s="598"/>
      <c r="BW84" s="598"/>
      <c r="BX84" s="598"/>
      <c r="BY84" s="598"/>
      <c r="BZ84" s="598"/>
      <c r="CA84" s="598"/>
      <c r="CB84" s="598"/>
      <c r="CC84" s="598"/>
      <c r="CD84" s="598"/>
      <c r="CE84" s="598"/>
      <c r="CF84" s="598"/>
      <c r="CG84" s="598"/>
      <c r="CH84" s="598"/>
      <c r="CI84" s="598"/>
      <c r="CJ84" s="598"/>
      <c r="CK84" s="598"/>
      <c r="CL84" s="598"/>
      <c r="CM84" s="598"/>
      <c r="CN84" s="598"/>
      <c r="CO84" s="598"/>
      <c r="CP84" s="598"/>
      <c r="CQ84" s="598"/>
      <c r="CR84" s="598"/>
      <c r="CS84" s="598"/>
      <c r="CT84" s="598"/>
      <c r="CU84" s="598"/>
      <c r="CV84" s="598"/>
      <c r="CW84" s="598"/>
      <c r="CX84" s="598"/>
      <c r="CY84" s="598"/>
      <c r="CZ84" s="598"/>
      <c r="DA84" s="598"/>
      <c r="DB84" s="598"/>
      <c r="DC84" s="598"/>
      <c r="DD84" s="598"/>
      <c r="DE84" s="598"/>
      <c r="DF84" s="598"/>
      <c r="DG84" s="598"/>
      <c r="DH84" s="598"/>
      <c r="DI84" s="598"/>
      <c r="DJ84" s="598"/>
      <c r="DK84" s="598"/>
      <c r="DL84" s="598"/>
      <c r="DM84" s="598"/>
      <c r="DN84" s="598"/>
      <c r="DO84" s="598"/>
      <c r="DP84" s="598"/>
      <c r="DQ84" s="598"/>
      <c r="DR84" s="598"/>
      <c r="DS84" s="598"/>
      <c r="DT84" s="598"/>
      <c r="DU84" s="598"/>
      <c r="DV84" s="598"/>
      <c r="DW84" s="598"/>
      <c r="DX84" s="598"/>
      <c r="DY84" s="598"/>
      <c r="DZ84" s="598"/>
      <c r="EA84" s="598"/>
      <c r="EB84" s="598"/>
      <c r="EC84" s="598"/>
      <c r="ED84" s="598"/>
      <c r="EE84" s="598"/>
      <c r="EF84" s="598"/>
      <c r="EG84" s="598"/>
      <c r="EH84" s="598"/>
      <c r="EI84" s="598"/>
      <c r="EJ84" s="598"/>
      <c r="EK84" s="598"/>
      <c r="EL84" s="598"/>
      <c r="EM84" s="598"/>
      <c r="EN84" s="598"/>
      <c r="EO84" s="598"/>
      <c r="EP84" s="598"/>
      <c r="EQ84" s="598"/>
      <c r="ER84" s="598"/>
      <c r="ES84" s="598"/>
      <c r="ET84" s="598"/>
      <c r="EU84" s="598"/>
      <c r="EV84" s="598"/>
      <c r="EW84" s="598"/>
      <c r="EX84" s="598"/>
      <c r="EY84" s="598"/>
      <c r="EZ84" s="598"/>
      <c r="FA84" s="598"/>
      <c r="FB84" s="598"/>
      <c r="FC84" s="598"/>
      <c r="FD84" s="598"/>
      <c r="FE84" s="598"/>
      <c r="FF84" s="598"/>
      <c r="FG84" s="598"/>
      <c r="FH84" s="598"/>
      <c r="FI84" s="598"/>
      <c r="FJ84" s="598"/>
      <c r="FK84" s="598"/>
      <c r="FL84" s="598"/>
      <c r="FM84" s="598"/>
      <c r="FN84" s="598"/>
      <c r="FO84" s="598"/>
      <c r="FP84" s="598"/>
      <c r="FQ84" s="598"/>
      <c r="FR84" s="598"/>
      <c r="FS84" s="598"/>
      <c r="FT84" s="598"/>
      <c r="FU84" s="598"/>
      <c r="FV84" s="598"/>
      <c r="FW84" s="598"/>
      <c r="FX84" s="598"/>
      <c r="FY84" s="598"/>
      <c r="FZ84" s="598"/>
      <c r="GA84" s="598"/>
      <c r="GB84" s="598"/>
      <c r="GC84" s="598"/>
      <c r="GD84" s="598"/>
      <c r="GE84" s="598"/>
      <c r="GF84" s="598"/>
      <c r="GG84" s="598"/>
      <c r="GH84" s="598"/>
      <c r="GI84" s="598"/>
      <c r="GJ84" s="598"/>
      <c r="GK84" s="598"/>
      <c r="GL84" s="598"/>
      <c r="GM84" s="598"/>
      <c r="GN84" s="598"/>
      <c r="GO84" s="598"/>
      <c r="GP84" s="598"/>
      <c r="GQ84" s="598"/>
      <c r="GR84" s="598"/>
      <c r="GS84" s="598"/>
      <c r="GT84" s="598"/>
      <c r="GU84" s="598"/>
      <c r="GV84" s="598"/>
      <c r="GW84" s="598"/>
      <c r="GX84" s="598"/>
      <c r="GY84" s="598"/>
      <c r="GZ84" s="598"/>
      <c r="HA84" s="598"/>
      <c r="HB84" s="598"/>
      <c r="HC84" s="598"/>
      <c r="HD84" s="598"/>
      <c r="HE84" s="598"/>
      <c r="HF84" s="598"/>
      <c r="HG84" s="598"/>
      <c r="HH84" s="598"/>
      <c r="HI84" s="598"/>
      <c r="HJ84" s="598"/>
      <c r="HK84" s="598"/>
      <c r="HL84" s="598"/>
      <c r="HM84" s="598"/>
      <c r="HN84" s="598"/>
      <c r="HO84" s="598"/>
      <c r="HP84" s="598"/>
      <c r="HQ84" s="598"/>
      <c r="HR84" s="598"/>
      <c r="HS84" s="598"/>
      <c r="HT84" s="598"/>
      <c r="HU84" s="598"/>
      <c r="HV84" s="598"/>
      <c r="HW84" s="598"/>
      <c r="HX84" s="598"/>
      <c r="HY84" s="598"/>
      <c r="HZ84" s="598"/>
      <c r="IA84" s="598"/>
      <c r="IB84" s="598"/>
      <c r="IC84" s="598"/>
      <c r="ID84" s="598"/>
      <c r="IE84" s="598"/>
      <c r="IF84" s="598"/>
      <c r="IG84" s="598"/>
      <c r="IH84" s="598"/>
      <c r="II84" s="598"/>
      <c r="IJ84" s="598"/>
      <c r="IK84" s="598"/>
      <c r="IL84" s="598"/>
      <c r="IM84" s="598"/>
      <c r="IN84" s="598"/>
      <c r="IO84" s="598"/>
      <c r="IP84" s="598"/>
      <c r="IQ84" s="598"/>
      <c r="IR84" s="598"/>
      <c r="IS84" s="598"/>
      <c r="IT84" s="598"/>
      <c r="IU84" s="598"/>
      <c r="IV84" s="598"/>
    </row>
    <row r="85" spans="1:256" ht="16.5" customHeight="1">
      <c r="A85" s="1"/>
      <c r="B85" s="627"/>
      <c r="C85" s="36"/>
      <c r="D85" s="36"/>
      <c r="E85" s="140" t="s">
        <v>331</v>
      </c>
      <c r="F85" s="574" t="s">
        <v>70</v>
      </c>
      <c r="G85" s="545" t="s">
        <v>74</v>
      </c>
      <c r="H85" s="546"/>
      <c r="I85" s="546"/>
      <c r="J85" s="547"/>
      <c r="K85" s="507"/>
      <c r="L85" s="370" t="s">
        <v>828</v>
      </c>
      <c r="M85" s="508"/>
      <c r="N85" s="36"/>
      <c r="O85" s="142"/>
      <c r="P85" s="615"/>
      <c r="Q85" s="142"/>
      <c r="R85" s="300"/>
      <c r="S85" s="144"/>
      <c r="T85" s="144"/>
      <c r="U85" s="615"/>
      <c r="V85" s="300"/>
      <c r="W85" s="300"/>
      <c r="X85" s="144"/>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c r="BP85" s="598"/>
      <c r="BQ85" s="598"/>
      <c r="BR85" s="598"/>
      <c r="BS85" s="598"/>
      <c r="BT85" s="598"/>
      <c r="BU85" s="598"/>
      <c r="BV85" s="598"/>
      <c r="BW85" s="598"/>
      <c r="BX85" s="598"/>
      <c r="BY85" s="598"/>
      <c r="BZ85" s="598"/>
      <c r="CA85" s="598"/>
      <c r="CB85" s="598"/>
      <c r="CC85" s="598"/>
      <c r="CD85" s="598"/>
      <c r="CE85" s="598"/>
      <c r="CF85" s="598"/>
      <c r="CG85" s="598"/>
      <c r="CH85" s="598"/>
      <c r="CI85" s="598"/>
      <c r="CJ85" s="598"/>
      <c r="CK85" s="598"/>
      <c r="CL85" s="598"/>
      <c r="CM85" s="598"/>
      <c r="CN85" s="598"/>
      <c r="CO85" s="598"/>
      <c r="CP85" s="598"/>
      <c r="CQ85" s="598"/>
      <c r="CR85" s="598"/>
      <c r="CS85" s="598"/>
      <c r="CT85" s="598"/>
      <c r="CU85" s="598"/>
      <c r="CV85" s="598"/>
      <c r="CW85" s="598"/>
      <c r="CX85" s="598"/>
      <c r="CY85" s="598"/>
      <c r="CZ85" s="598"/>
      <c r="DA85" s="598"/>
      <c r="DB85" s="598"/>
      <c r="DC85" s="598"/>
      <c r="DD85" s="598"/>
      <c r="DE85" s="598"/>
      <c r="DF85" s="598"/>
      <c r="DG85" s="598"/>
      <c r="DH85" s="598"/>
      <c r="DI85" s="598"/>
      <c r="DJ85" s="598"/>
      <c r="DK85" s="598"/>
      <c r="DL85" s="598"/>
      <c r="DM85" s="598"/>
      <c r="DN85" s="598"/>
      <c r="DO85" s="598"/>
      <c r="DP85" s="598"/>
      <c r="DQ85" s="598"/>
      <c r="DR85" s="598"/>
      <c r="DS85" s="598"/>
      <c r="DT85" s="598"/>
      <c r="DU85" s="598"/>
      <c r="DV85" s="598"/>
      <c r="DW85" s="598"/>
      <c r="DX85" s="598"/>
      <c r="DY85" s="598"/>
      <c r="DZ85" s="598"/>
      <c r="EA85" s="598"/>
      <c r="EB85" s="598"/>
      <c r="EC85" s="598"/>
      <c r="ED85" s="598"/>
      <c r="EE85" s="598"/>
      <c r="EF85" s="598"/>
      <c r="EG85" s="598"/>
      <c r="EH85" s="598"/>
      <c r="EI85" s="598"/>
      <c r="EJ85" s="598"/>
      <c r="EK85" s="598"/>
      <c r="EL85" s="598"/>
      <c r="EM85" s="598"/>
      <c r="EN85" s="598"/>
      <c r="EO85" s="598"/>
      <c r="EP85" s="598"/>
      <c r="EQ85" s="598"/>
      <c r="ER85" s="598"/>
      <c r="ES85" s="598"/>
      <c r="ET85" s="598"/>
      <c r="EU85" s="598"/>
      <c r="EV85" s="598"/>
      <c r="EW85" s="598"/>
      <c r="EX85" s="598"/>
      <c r="EY85" s="598"/>
      <c r="EZ85" s="598"/>
      <c r="FA85" s="598"/>
      <c r="FB85" s="598"/>
      <c r="FC85" s="598"/>
      <c r="FD85" s="598"/>
      <c r="FE85" s="598"/>
      <c r="FF85" s="598"/>
      <c r="FG85" s="598"/>
      <c r="FH85" s="598"/>
      <c r="FI85" s="598"/>
      <c r="FJ85" s="598"/>
      <c r="FK85" s="598"/>
      <c r="FL85" s="598"/>
      <c r="FM85" s="598"/>
      <c r="FN85" s="598"/>
      <c r="FO85" s="598"/>
      <c r="FP85" s="598"/>
      <c r="FQ85" s="598"/>
      <c r="FR85" s="598"/>
      <c r="FS85" s="598"/>
      <c r="FT85" s="598"/>
      <c r="FU85" s="598"/>
      <c r="FV85" s="598"/>
      <c r="FW85" s="598"/>
      <c r="FX85" s="598"/>
      <c r="FY85" s="598"/>
      <c r="FZ85" s="598"/>
      <c r="GA85" s="598"/>
      <c r="GB85" s="598"/>
      <c r="GC85" s="598"/>
      <c r="GD85" s="598"/>
      <c r="GE85" s="598"/>
      <c r="GF85" s="598"/>
      <c r="GG85" s="598"/>
      <c r="GH85" s="598"/>
      <c r="GI85" s="598"/>
      <c r="GJ85" s="598"/>
      <c r="GK85" s="598"/>
      <c r="GL85" s="598"/>
      <c r="GM85" s="598"/>
      <c r="GN85" s="598"/>
      <c r="GO85" s="598"/>
      <c r="GP85" s="598"/>
      <c r="GQ85" s="598"/>
      <c r="GR85" s="598"/>
      <c r="GS85" s="598"/>
      <c r="GT85" s="598"/>
      <c r="GU85" s="598"/>
      <c r="GV85" s="598"/>
      <c r="GW85" s="598"/>
      <c r="GX85" s="598"/>
      <c r="GY85" s="598"/>
      <c r="GZ85" s="598"/>
      <c r="HA85" s="598"/>
      <c r="HB85" s="598"/>
      <c r="HC85" s="598"/>
      <c r="HD85" s="598"/>
      <c r="HE85" s="598"/>
      <c r="HF85" s="598"/>
      <c r="HG85" s="598"/>
      <c r="HH85" s="598"/>
      <c r="HI85" s="598"/>
      <c r="HJ85" s="598"/>
      <c r="HK85" s="598"/>
      <c r="HL85" s="598"/>
      <c r="HM85" s="598"/>
      <c r="HN85" s="598"/>
      <c r="HO85" s="598"/>
      <c r="HP85" s="598"/>
      <c r="HQ85" s="598"/>
      <c r="HR85" s="598"/>
      <c r="HS85" s="598"/>
      <c r="HT85" s="598"/>
      <c r="HU85" s="598"/>
      <c r="HV85" s="598"/>
      <c r="HW85" s="598"/>
      <c r="HX85" s="598"/>
      <c r="HY85" s="598"/>
      <c r="HZ85" s="598"/>
      <c r="IA85" s="598"/>
      <c r="IB85" s="598"/>
      <c r="IC85" s="598"/>
      <c r="ID85" s="598"/>
      <c r="IE85" s="598"/>
      <c r="IF85" s="598"/>
      <c r="IG85" s="598"/>
      <c r="IH85" s="598"/>
      <c r="II85" s="598"/>
      <c r="IJ85" s="598"/>
      <c r="IK85" s="598"/>
      <c r="IL85" s="598"/>
      <c r="IM85" s="598"/>
      <c r="IN85" s="598"/>
      <c r="IO85" s="598"/>
      <c r="IP85" s="598"/>
      <c r="IQ85" s="598"/>
      <c r="IR85" s="598"/>
      <c r="IS85" s="598"/>
      <c r="IT85" s="598"/>
      <c r="IU85" s="598"/>
      <c r="IV85" s="598"/>
    </row>
    <row r="86" spans="1:256" ht="16.5" customHeight="1" thickBot="1">
      <c r="A86" s="1"/>
      <c r="B86" s="627"/>
      <c r="C86" s="36"/>
      <c r="D86" s="36"/>
      <c r="E86" s="636"/>
      <c r="F86" s="629"/>
      <c r="G86" s="630"/>
      <c r="H86" s="631"/>
      <c r="I86" s="631"/>
      <c r="J86" s="632"/>
      <c r="K86" s="596" t="s">
        <v>813</v>
      </c>
      <c r="L86" s="596" t="s">
        <v>814</v>
      </c>
      <c r="M86" s="629" t="s">
        <v>815</v>
      </c>
      <c r="N86" s="36"/>
      <c r="O86" s="142"/>
      <c r="P86" s="615"/>
      <c r="Q86" s="142"/>
      <c r="R86" s="300"/>
      <c r="S86" s="144"/>
      <c r="T86" s="144"/>
      <c r="U86" s="615"/>
      <c r="V86" s="300"/>
      <c r="W86" s="300"/>
      <c r="X86" s="144"/>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598"/>
      <c r="AY86" s="598"/>
      <c r="AZ86" s="598"/>
      <c r="BA86" s="598"/>
      <c r="BB86" s="598"/>
      <c r="BC86" s="598"/>
      <c r="BD86" s="598"/>
      <c r="BE86" s="598"/>
      <c r="BF86" s="598"/>
      <c r="BG86" s="598"/>
      <c r="BH86" s="598"/>
      <c r="BI86" s="598"/>
      <c r="BJ86" s="598"/>
      <c r="BK86" s="598"/>
      <c r="BL86" s="598"/>
      <c r="BM86" s="598"/>
      <c r="BN86" s="598"/>
      <c r="BO86" s="598"/>
      <c r="BP86" s="598"/>
      <c r="BQ86" s="598"/>
      <c r="BR86" s="598"/>
      <c r="BS86" s="598"/>
      <c r="BT86" s="598"/>
      <c r="BU86" s="598"/>
      <c r="BV86" s="598"/>
      <c r="BW86" s="598"/>
      <c r="BX86" s="598"/>
      <c r="BY86" s="598"/>
      <c r="BZ86" s="598"/>
      <c r="CA86" s="598"/>
      <c r="CB86" s="598"/>
      <c r="CC86" s="598"/>
      <c r="CD86" s="598"/>
      <c r="CE86" s="598"/>
      <c r="CF86" s="598"/>
      <c r="CG86" s="598"/>
      <c r="CH86" s="598"/>
      <c r="CI86" s="598"/>
      <c r="CJ86" s="598"/>
      <c r="CK86" s="598"/>
      <c r="CL86" s="598"/>
      <c r="CM86" s="598"/>
      <c r="CN86" s="598"/>
      <c r="CO86" s="598"/>
      <c r="CP86" s="598"/>
      <c r="CQ86" s="598"/>
      <c r="CR86" s="598"/>
      <c r="CS86" s="598"/>
      <c r="CT86" s="598"/>
      <c r="CU86" s="598"/>
      <c r="CV86" s="598"/>
      <c r="CW86" s="598"/>
      <c r="CX86" s="598"/>
      <c r="CY86" s="598"/>
      <c r="CZ86" s="598"/>
      <c r="DA86" s="598"/>
      <c r="DB86" s="598"/>
      <c r="DC86" s="598"/>
      <c r="DD86" s="598"/>
      <c r="DE86" s="598"/>
      <c r="DF86" s="598"/>
      <c r="DG86" s="598"/>
      <c r="DH86" s="598"/>
      <c r="DI86" s="598"/>
      <c r="DJ86" s="598"/>
      <c r="DK86" s="598"/>
      <c r="DL86" s="598"/>
      <c r="DM86" s="598"/>
      <c r="DN86" s="598"/>
      <c r="DO86" s="598"/>
      <c r="DP86" s="598"/>
      <c r="DQ86" s="598"/>
      <c r="DR86" s="598"/>
      <c r="DS86" s="598"/>
      <c r="DT86" s="598"/>
      <c r="DU86" s="598"/>
      <c r="DV86" s="598"/>
      <c r="DW86" s="598"/>
      <c r="DX86" s="598"/>
      <c r="DY86" s="598"/>
      <c r="DZ86" s="598"/>
      <c r="EA86" s="598"/>
      <c r="EB86" s="598"/>
      <c r="EC86" s="598"/>
      <c r="ED86" s="598"/>
      <c r="EE86" s="598"/>
      <c r="EF86" s="598"/>
      <c r="EG86" s="598"/>
      <c r="EH86" s="598"/>
      <c r="EI86" s="598"/>
      <c r="EJ86" s="598"/>
      <c r="EK86" s="598"/>
      <c r="EL86" s="598"/>
      <c r="EM86" s="598"/>
      <c r="EN86" s="598"/>
      <c r="EO86" s="598"/>
      <c r="EP86" s="598"/>
      <c r="EQ86" s="598"/>
      <c r="ER86" s="598"/>
      <c r="ES86" s="598"/>
      <c r="ET86" s="598"/>
      <c r="EU86" s="598"/>
      <c r="EV86" s="598"/>
      <c r="EW86" s="598"/>
      <c r="EX86" s="598"/>
      <c r="EY86" s="598"/>
      <c r="EZ86" s="598"/>
      <c r="FA86" s="598"/>
      <c r="FB86" s="598"/>
      <c r="FC86" s="598"/>
      <c r="FD86" s="598"/>
      <c r="FE86" s="598"/>
      <c r="FF86" s="598"/>
      <c r="FG86" s="598"/>
      <c r="FH86" s="598"/>
      <c r="FI86" s="598"/>
      <c r="FJ86" s="598"/>
      <c r="FK86" s="598"/>
      <c r="FL86" s="598"/>
      <c r="FM86" s="598"/>
      <c r="FN86" s="598"/>
      <c r="FO86" s="598"/>
      <c r="FP86" s="598"/>
      <c r="FQ86" s="598"/>
      <c r="FR86" s="598"/>
      <c r="FS86" s="598"/>
      <c r="FT86" s="598"/>
      <c r="FU86" s="598"/>
      <c r="FV86" s="598"/>
      <c r="FW86" s="598"/>
      <c r="FX86" s="598"/>
      <c r="FY86" s="598"/>
      <c r="FZ86" s="598"/>
      <c r="GA86" s="598"/>
      <c r="GB86" s="598"/>
      <c r="GC86" s="598"/>
      <c r="GD86" s="598"/>
      <c r="GE86" s="598"/>
      <c r="GF86" s="598"/>
      <c r="GG86" s="598"/>
      <c r="GH86" s="598"/>
      <c r="GI86" s="598"/>
      <c r="GJ86" s="598"/>
      <c r="GK86" s="598"/>
      <c r="GL86" s="598"/>
      <c r="GM86" s="598"/>
      <c r="GN86" s="598"/>
      <c r="GO86" s="598"/>
      <c r="GP86" s="598"/>
      <c r="GQ86" s="598"/>
      <c r="GR86" s="598"/>
      <c r="GS86" s="598"/>
      <c r="GT86" s="598"/>
      <c r="GU86" s="598"/>
      <c r="GV86" s="598"/>
      <c r="GW86" s="598"/>
      <c r="GX86" s="598"/>
      <c r="GY86" s="598"/>
      <c r="GZ86" s="598"/>
      <c r="HA86" s="598"/>
      <c r="HB86" s="598"/>
      <c r="HC86" s="598"/>
      <c r="HD86" s="598"/>
      <c r="HE86" s="598"/>
      <c r="HF86" s="598"/>
      <c r="HG86" s="598"/>
      <c r="HH86" s="598"/>
      <c r="HI86" s="598"/>
      <c r="HJ86" s="598"/>
      <c r="HK86" s="598"/>
      <c r="HL86" s="598"/>
      <c r="HM86" s="598"/>
      <c r="HN86" s="598"/>
      <c r="HO86" s="598"/>
      <c r="HP86" s="598"/>
      <c r="HQ86" s="598"/>
      <c r="HR86" s="598"/>
      <c r="HS86" s="598"/>
      <c r="HT86" s="598"/>
      <c r="HU86" s="598"/>
      <c r="HV86" s="598"/>
      <c r="HW86" s="598"/>
      <c r="HX86" s="598"/>
      <c r="HY86" s="598"/>
      <c r="HZ86" s="598"/>
      <c r="IA86" s="598"/>
      <c r="IB86" s="598"/>
      <c r="IC86" s="598"/>
      <c r="ID86" s="598"/>
      <c r="IE86" s="598"/>
      <c r="IF86" s="598"/>
      <c r="IG86" s="598"/>
      <c r="IH86" s="598"/>
      <c r="II86" s="598"/>
      <c r="IJ86" s="598"/>
      <c r="IK86" s="598"/>
      <c r="IL86" s="598"/>
      <c r="IM86" s="598"/>
      <c r="IN86" s="598"/>
      <c r="IO86" s="598"/>
      <c r="IP86" s="598"/>
      <c r="IQ86" s="598"/>
      <c r="IR86" s="598"/>
      <c r="IS86" s="598"/>
      <c r="IT86" s="598"/>
      <c r="IU86" s="598"/>
      <c r="IV86" s="598"/>
    </row>
    <row r="87" spans="1:256" ht="24" customHeight="1">
      <c r="A87" s="1"/>
      <c r="B87" s="627"/>
      <c r="C87" s="36"/>
      <c r="D87" s="36"/>
      <c r="E87" s="1066">
        <v>2</v>
      </c>
      <c r="F87" s="512">
        <v>1</v>
      </c>
      <c r="G87" s="2476" t="s">
        <v>816</v>
      </c>
      <c r="H87" s="2522"/>
      <c r="I87" s="2522"/>
      <c r="J87" s="2523"/>
      <c r="K87" s="633">
        <v>2</v>
      </c>
      <c r="L87" s="633">
        <v>1</v>
      </c>
      <c r="M87" s="579">
        <v>0</v>
      </c>
      <c r="N87" s="36"/>
      <c r="O87" s="142"/>
      <c r="P87" s="634">
        <v>2</v>
      </c>
      <c r="Q87" s="314">
        <v>1</v>
      </c>
      <c r="R87" s="635">
        <v>0</v>
      </c>
      <c r="S87" s="412" t="s">
        <v>382</v>
      </c>
      <c r="T87" s="144"/>
      <c r="U87" s="615"/>
      <c r="V87" s="300"/>
      <c r="W87" s="300"/>
      <c r="X87" s="144"/>
      <c r="Y87" s="598"/>
      <c r="Z87" s="598"/>
      <c r="AA87" s="598"/>
      <c r="AB87" s="598"/>
      <c r="AC87" s="598"/>
      <c r="AD87" s="598"/>
      <c r="AE87" s="598"/>
      <c r="AF87" s="598"/>
      <c r="AG87" s="598"/>
      <c r="AH87" s="598"/>
      <c r="AI87" s="598"/>
      <c r="AJ87" s="598"/>
      <c r="AK87" s="598"/>
      <c r="AL87" s="598"/>
      <c r="AM87" s="598"/>
      <c r="AN87" s="598"/>
      <c r="AO87" s="598"/>
      <c r="AP87" s="598"/>
      <c r="AQ87" s="598"/>
      <c r="AR87" s="598"/>
      <c r="AS87" s="598"/>
      <c r="AT87" s="598"/>
      <c r="AU87" s="598"/>
      <c r="AV87" s="598"/>
      <c r="AW87" s="598"/>
      <c r="AX87" s="598"/>
      <c r="AY87" s="598"/>
      <c r="AZ87" s="598"/>
      <c r="BA87" s="598"/>
      <c r="BB87" s="598"/>
      <c r="BC87" s="598"/>
      <c r="BD87" s="598"/>
      <c r="BE87" s="598"/>
      <c r="BF87" s="598"/>
      <c r="BG87" s="598"/>
      <c r="BH87" s="598"/>
      <c r="BI87" s="598"/>
      <c r="BJ87" s="598"/>
      <c r="BK87" s="598"/>
      <c r="BL87" s="598"/>
      <c r="BM87" s="598"/>
      <c r="BN87" s="598"/>
      <c r="BO87" s="598"/>
      <c r="BP87" s="598"/>
      <c r="BQ87" s="598"/>
      <c r="BR87" s="598"/>
      <c r="BS87" s="598"/>
      <c r="BT87" s="598"/>
      <c r="BU87" s="598"/>
      <c r="BV87" s="598"/>
      <c r="BW87" s="598"/>
      <c r="BX87" s="598"/>
      <c r="BY87" s="598"/>
      <c r="BZ87" s="598"/>
      <c r="CA87" s="598"/>
      <c r="CB87" s="598"/>
      <c r="CC87" s="598"/>
      <c r="CD87" s="598"/>
      <c r="CE87" s="598"/>
      <c r="CF87" s="598"/>
      <c r="CG87" s="598"/>
      <c r="CH87" s="598"/>
      <c r="CI87" s="598"/>
      <c r="CJ87" s="598"/>
      <c r="CK87" s="598"/>
      <c r="CL87" s="598"/>
      <c r="CM87" s="598"/>
      <c r="CN87" s="598"/>
      <c r="CO87" s="598"/>
      <c r="CP87" s="598"/>
      <c r="CQ87" s="598"/>
      <c r="CR87" s="598"/>
      <c r="CS87" s="598"/>
      <c r="CT87" s="598"/>
      <c r="CU87" s="598"/>
      <c r="CV87" s="598"/>
      <c r="CW87" s="598"/>
      <c r="CX87" s="598"/>
      <c r="CY87" s="598"/>
      <c r="CZ87" s="598"/>
      <c r="DA87" s="598"/>
      <c r="DB87" s="598"/>
      <c r="DC87" s="598"/>
      <c r="DD87" s="598"/>
      <c r="DE87" s="598"/>
      <c r="DF87" s="598"/>
      <c r="DG87" s="598"/>
      <c r="DH87" s="598"/>
      <c r="DI87" s="598"/>
      <c r="DJ87" s="598"/>
      <c r="DK87" s="598"/>
      <c r="DL87" s="598"/>
      <c r="DM87" s="598"/>
      <c r="DN87" s="598"/>
      <c r="DO87" s="598"/>
      <c r="DP87" s="598"/>
      <c r="DQ87" s="598"/>
      <c r="DR87" s="598"/>
      <c r="DS87" s="598"/>
      <c r="DT87" s="598"/>
      <c r="DU87" s="598"/>
      <c r="DV87" s="598"/>
      <c r="DW87" s="598"/>
      <c r="DX87" s="598"/>
      <c r="DY87" s="598"/>
      <c r="DZ87" s="598"/>
      <c r="EA87" s="598"/>
      <c r="EB87" s="598"/>
      <c r="EC87" s="598"/>
      <c r="ED87" s="598"/>
      <c r="EE87" s="598"/>
      <c r="EF87" s="598"/>
      <c r="EG87" s="598"/>
      <c r="EH87" s="598"/>
      <c r="EI87" s="598"/>
      <c r="EJ87" s="598"/>
      <c r="EK87" s="598"/>
      <c r="EL87" s="598"/>
      <c r="EM87" s="598"/>
      <c r="EN87" s="598"/>
      <c r="EO87" s="598"/>
      <c r="EP87" s="598"/>
      <c r="EQ87" s="598"/>
      <c r="ER87" s="598"/>
      <c r="ES87" s="598"/>
      <c r="ET87" s="598"/>
      <c r="EU87" s="598"/>
      <c r="EV87" s="598"/>
      <c r="EW87" s="598"/>
      <c r="EX87" s="598"/>
      <c r="EY87" s="598"/>
      <c r="EZ87" s="598"/>
      <c r="FA87" s="598"/>
      <c r="FB87" s="598"/>
      <c r="FC87" s="598"/>
      <c r="FD87" s="598"/>
      <c r="FE87" s="598"/>
      <c r="FF87" s="598"/>
      <c r="FG87" s="598"/>
      <c r="FH87" s="598"/>
      <c r="FI87" s="598"/>
      <c r="FJ87" s="598"/>
      <c r="FK87" s="598"/>
      <c r="FL87" s="598"/>
      <c r="FM87" s="598"/>
      <c r="FN87" s="598"/>
      <c r="FO87" s="598"/>
      <c r="FP87" s="598"/>
      <c r="FQ87" s="598"/>
      <c r="FR87" s="598"/>
      <c r="FS87" s="598"/>
      <c r="FT87" s="598"/>
      <c r="FU87" s="598"/>
      <c r="FV87" s="598"/>
      <c r="FW87" s="598"/>
      <c r="FX87" s="598"/>
      <c r="FY87" s="598"/>
      <c r="FZ87" s="598"/>
      <c r="GA87" s="598"/>
      <c r="GB87" s="598"/>
      <c r="GC87" s="598"/>
      <c r="GD87" s="598"/>
      <c r="GE87" s="598"/>
      <c r="GF87" s="598"/>
      <c r="GG87" s="598"/>
      <c r="GH87" s="598"/>
      <c r="GI87" s="598"/>
      <c r="GJ87" s="598"/>
      <c r="GK87" s="598"/>
      <c r="GL87" s="598"/>
      <c r="GM87" s="598"/>
      <c r="GN87" s="598"/>
      <c r="GO87" s="598"/>
      <c r="GP87" s="598"/>
      <c r="GQ87" s="598"/>
      <c r="GR87" s="598"/>
      <c r="GS87" s="598"/>
      <c r="GT87" s="598"/>
      <c r="GU87" s="598"/>
      <c r="GV87" s="598"/>
      <c r="GW87" s="598"/>
      <c r="GX87" s="598"/>
      <c r="GY87" s="598"/>
      <c r="GZ87" s="598"/>
      <c r="HA87" s="598"/>
      <c r="HB87" s="598"/>
      <c r="HC87" s="598"/>
      <c r="HD87" s="598"/>
      <c r="HE87" s="598"/>
      <c r="HF87" s="598"/>
      <c r="HG87" s="598"/>
      <c r="HH87" s="598"/>
      <c r="HI87" s="598"/>
      <c r="HJ87" s="598"/>
      <c r="HK87" s="598"/>
      <c r="HL87" s="598"/>
      <c r="HM87" s="598"/>
      <c r="HN87" s="598"/>
      <c r="HO87" s="598"/>
      <c r="HP87" s="598"/>
      <c r="HQ87" s="598"/>
      <c r="HR87" s="598"/>
      <c r="HS87" s="598"/>
      <c r="HT87" s="598"/>
      <c r="HU87" s="598"/>
      <c r="HV87" s="598"/>
      <c r="HW87" s="598"/>
      <c r="HX87" s="598"/>
      <c r="HY87" s="598"/>
      <c r="HZ87" s="598"/>
      <c r="IA87" s="598"/>
      <c r="IB87" s="598"/>
      <c r="IC87" s="598"/>
      <c r="ID87" s="598"/>
      <c r="IE87" s="598"/>
      <c r="IF87" s="598"/>
      <c r="IG87" s="598"/>
      <c r="IH87" s="598"/>
      <c r="II87" s="598"/>
      <c r="IJ87" s="598"/>
      <c r="IK87" s="598"/>
      <c r="IL87" s="598"/>
      <c r="IM87" s="598"/>
      <c r="IN87" s="598"/>
      <c r="IO87" s="598"/>
      <c r="IP87" s="598"/>
      <c r="IQ87" s="598"/>
      <c r="IR87" s="598"/>
      <c r="IS87" s="598"/>
      <c r="IT87" s="598"/>
      <c r="IU87" s="598"/>
      <c r="IV87" s="598"/>
    </row>
    <row r="88" spans="1:256" ht="24" customHeight="1">
      <c r="A88" s="1"/>
      <c r="B88" s="627"/>
      <c r="C88" s="36"/>
      <c r="D88" s="36"/>
      <c r="E88" s="1068">
        <v>2</v>
      </c>
      <c r="F88" s="1349">
        <v>2</v>
      </c>
      <c r="G88" s="2417" t="s">
        <v>817</v>
      </c>
      <c r="H88" s="2524"/>
      <c r="I88" s="2524"/>
      <c r="J88" s="2525"/>
      <c r="K88" s="633">
        <v>2</v>
      </c>
      <c r="L88" s="633">
        <v>1</v>
      </c>
      <c r="M88" s="579">
        <v>0</v>
      </c>
      <c r="N88" s="36"/>
      <c r="O88" s="142"/>
      <c r="P88" s="634">
        <v>2</v>
      </c>
      <c r="Q88" s="314">
        <v>1</v>
      </c>
      <c r="R88" s="635">
        <v>0</v>
      </c>
      <c r="S88" s="412" t="s">
        <v>382</v>
      </c>
      <c r="T88" s="144"/>
      <c r="U88" s="615"/>
      <c r="V88" s="300"/>
      <c r="W88" s="300"/>
      <c r="X88" s="144"/>
      <c r="Y88" s="598"/>
      <c r="Z88" s="598"/>
      <c r="AA88" s="598"/>
      <c r="AB88" s="598"/>
      <c r="AC88" s="598"/>
      <c r="AD88" s="598"/>
      <c r="AE88" s="598"/>
      <c r="AF88" s="598"/>
      <c r="AG88" s="598"/>
      <c r="AH88" s="598"/>
      <c r="AI88" s="598"/>
      <c r="AJ88" s="598"/>
      <c r="AK88" s="598"/>
      <c r="AL88" s="598"/>
      <c r="AM88" s="598"/>
      <c r="AN88" s="598"/>
      <c r="AO88" s="598"/>
      <c r="AP88" s="598"/>
      <c r="AQ88" s="598"/>
      <c r="AR88" s="598"/>
      <c r="AS88" s="598"/>
      <c r="AT88" s="598"/>
      <c r="AU88" s="598"/>
      <c r="AV88" s="598"/>
      <c r="AW88" s="598"/>
      <c r="AX88" s="598"/>
      <c r="AY88" s="598"/>
      <c r="AZ88" s="598"/>
      <c r="BA88" s="598"/>
      <c r="BB88" s="598"/>
      <c r="BC88" s="598"/>
      <c r="BD88" s="598"/>
      <c r="BE88" s="598"/>
      <c r="BF88" s="598"/>
      <c r="BG88" s="598"/>
      <c r="BH88" s="598"/>
      <c r="BI88" s="598"/>
      <c r="BJ88" s="598"/>
      <c r="BK88" s="598"/>
      <c r="BL88" s="598"/>
      <c r="BM88" s="598"/>
      <c r="BN88" s="598"/>
      <c r="BO88" s="598"/>
      <c r="BP88" s="598"/>
      <c r="BQ88" s="598"/>
      <c r="BR88" s="598"/>
      <c r="BS88" s="598"/>
      <c r="BT88" s="598"/>
      <c r="BU88" s="598"/>
      <c r="BV88" s="598"/>
      <c r="BW88" s="598"/>
      <c r="BX88" s="598"/>
      <c r="BY88" s="598"/>
      <c r="BZ88" s="598"/>
      <c r="CA88" s="598"/>
      <c r="CB88" s="598"/>
      <c r="CC88" s="598"/>
      <c r="CD88" s="598"/>
      <c r="CE88" s="598"/>
      <c r="CF88" s="598"/>
      <c r="CG88" s="598"/>
      <c r="CH88" s="598"/>
      <c r="CI88" s="598"/>
      <c r="CJ88" s="598"/>
      <c r="CK88" s="598"/>
      <c r="CL88" s="598"/>
      <c r="CM88" s="598"/>
      <c r="CN88" s="598"/>
      <c r="CO88" s="598"/>
      <c r="CP88" s="598"/>
      <c r="CQ88" s="598"/>
      <c r="CR88" s="598"/>
      <c r="CS88" s="598"/>
      <c r="CT88" s="598"/>
      <c r="CU88" s="598"/>
      <c r="CV88" s="598"/>
      <c r="CW88" s="598"/>
      <c r="CX88" s="598"/>
      <c r="CY88" s="598"/>
      <c r="CZ88" s="598"/>
      <c r="DA88" s="598"/>
      <c r="DB88" s="598"/>
      <c r="DC88" s="598"/>
      <c r="DD88" s="598"/>
      <c r="DE88" s="598"/>
      <c r="DF88" s="598"/>
      <c r="DG88" s="598"/>
      <c r="DH88" s="598"/>
      <c r="DI88" s="598"/>
      <c r="DJ88" s="598"/>
      <c r="DK88" s="598"/>
      <c r="DL88" s="598"/>
      <c r="DM88" s="598"/>
      <c r="DN88" s="598"/>
      <c r="DO88" s="598"/>
      <c r="DP88" s="598"/>
      <c r="DQ88" s="598"/>
      <c r="DR88" s="598"/>
      <c r="DS88" s="598"/>
      <c r="DT88" s="598"/>
      <c r="DU88" s="598"/>
      <c r="DV88" s="598"/>
      <c r="DW88" s="598"/>
      <c r="DX88" s="598"/>
      <c r="DY88" s="598"/>
      <c r="DZ88" s="598"/>
      <c r="EA88" s="598"/>
      <c r="EB88" s="598"/>
      <c r="EC88" s="598"/>
      <c r="ED88" s="598"/>
      <c r="EE88" s="598"/>
      <c r="EF88" s="598"/>
      <c r="EG88" s="598"/>
      <c r="EH88" s="598"/>
      <c r="EI88" s="598"/>
      <c r="EJ88" s="598"/>
      <c r="EK88" s="598"/>
      <c r="EL88" s="598"/>
      <c r="EM88" s="598"/>
      <c r="EN88" s="598"/>
      <c r="EO88" s="598"/>
      <c r="EP88" s="598"/>
      <c r="EQ88" s="598"/>
      <c r="ER88" s="598"/>
      <c r="ES88" s="598"/>
      <c r="ET88" s="598"/>
      <c r="EU88" s="598"/>
      <c r="EV88" s="598"/>
      <c r="EW88" s="598"/>
      <c r="EX88" s="598"/>
      <c r="EY88" s="598"/>
      <c r="EZ88" s="598"/>
      <c r="FA88" s="598"/>
      <c r="FB88" s="598"/>
      <c r="FC88" s="598"/>
      <c r="FD88" s="598"/>
      <c r="FE88" s="598"/>
      <c r="FF88" s="598"/>
      <c r="FG88" s="598"/>
      <c r="FH88" s="598"/>
      <c r="FI88" s="598"/>
      <c r="FJ88" s="598"/>
      <c r="FK88" s="598"/>
      <c r="FL88" s="598"/>
      <c r="FM88" s="598"/>
      <c r="FN88" s="598"/>
      <c r="FO88" s="598"/>
      <c r="FP88" s="598"/>
      <c r="FQ88" s="598"/>
      <c r="FR88" s="598"/>
      <c r="FS88" s="598"/>
      <c r="FT88" s="598"/>
      <c r="FU88" s="598"/>
      <c r="FV88" s="598"/>
      <c r="FW88" s="598"/>
      <c r="FX88" s="598"/>
      <c r="FY88" s="598"/>
      <c r="FZ88" s="598"/>
      <c r="GA88" s="598"/>
      <c r="GB88" s="598"/>
      <c r="GC88" s="598"/>
      <c r="GD88" s="598"/>
      <c r="GE88" s="598"/>
      <c r="GF88" s="598"/>
      <c r="GG88" s="598"/>
      <c r="GH88" s="598"/>
      <c r="GI88" s="598"/>
      <c r="GJ88" s="598"/>
      <c r="GK88" s="598"/>
      <c r="GL88" s="598"/>
      <c r="GM88" s="598"/>
      <c r="GN88" s="598"/>
      <c r="GO88" s="598"/>
      <c r="GP88" s="598"/>
      <c r="GQ88" s="598"/>
      <c r="GR88" s="598"/>
      <c r="GS88" s="598"/>
      <c r="GT88" s="598"/>
      <c r="GU88" s="598"/>
      <c r="GV88" s="598"/>
      <c r="GW88" s="598"/>
      <c r="GX88" s="598"/>
      <c r="GY88" s="598"/>
      <c r="GZ88" s="598"/>
      <c r="HA88" s="598"/>
      <c r="HB88" s="598"/>
      <c r="HC88" s="598"/>
      <c r="HD88" s="598"/>
      <c r="HE88" s="598"/>
      <c r="HF88" s="598"/>
      <c r="HG88" s="598"/>
      <c r="HH88" s="598"/>
      <c r="HI88" s="598"/>
      <c r="HJ88" s="598"/>
      <c r="HK88" s="598"/>
      <c r="HL88" s="598"/>
      <c r="HM88" s="598"/>
      <c r="HN88" s="598"/>
      <c r="HO88" s="598"/>
      <c r="HP88" s="598"/>
      <c r="HQ88" s="598"/>
      <c r="HR88" s="598"/>
      <c r="HS88" s="598"/>
      <c r="HT88" s="598"/>
      <c r="HU88" s="598"/>
      <c r="HV88" s="598"/>
      <c r="HW88" s="598"/>
      <c r="HX88" s="598"/>
      <c r="HY88" s="598"/>
      <c r="HZ88" s="598"/>
      <c r="IA88" s="598"/>
      <c r="IB88" s="598"/>
      <c r="IC88" s="598"/>
      <c r="ID88" s="598"/>
      <c r="IE88" s="598"/>
      <c r="IF88" s="598"/>
      <c r="IG88" s="598"/>
      <c r="IH88" s="598"/>
      <c r="II88" s="598"/>
      <c r="IJ88" s="598"/>
      <c r="IK88" s="598"/>
      <c r="IL88" s="598"/>
      <c r="IM88" s="598"/>
      <c r="IN88" s="598"/>
      <c r="IO88" s="598"/>
      <c r="IP88" s="598"/>
      <c r="IQ88" s="598"/>
      <c r="IR88" s="598"/>
      <c r="IS88" s="598"/>
      <c r="IT88" s="598"/>
      <c r="IU88" s="598"/>
      <c r="IV88" s="598"/>
    </row>
    <row r="89" spans="1:256" ht="16.5" customHeight="1">
      <c r="A89" s="1"/>
      <c r="B89" s="627"/>
      <c r="C89" s="36"/>
      <c r="D89" s="36"/>
      <c r="E89" s="1068">
        <v>0</v>
      </c>
      <c r="F89" s="1349">
        <v>3</v>
      </c>
      <c r="G89" s="523" t="s">
        <v>818</v>
      </c>
      <c r="H89" s="770"/>
      <c r="I89" s="770"/>
      <c r="J89" s="771"/>
      <c r="K89" s="633">
        <v>2</v>
      </c>
      <c r="L89" s="633">
        <v>1</v>
      </c>
      <c r="M89" s="579">
        <v>0</v>
      </c>
      <c r="N89" s="36"/>
      <c r="O89" s="142"/>
      <c r="P89" s="634">
        <v>2</v>
      </c>
      <c r="Q89" s="314">
        <v>1</v>
      </c>
      <c r="R89" s="635">
        <v>0</v>
      </c>
      <c r="S89" s="412" t="s">
        <v>382</v>
      </c>
      <c r="T89" s="144"/>
      <c r="U89" s="615"/>
      <c r="V89" s="300"/>
      <c r="W89" s="300"/>
      <c r="X89" s="144"/>
      <c r="Y89" s="598"/>
      <c r="Z89" s="598"/>
      <c r="AA89" s="598"/>
      <c r="AB89" s="598"/>
      <c r="AC89" s="598"/>
      <c r="AD89" s="598"/>
      <c r="AE89" s="598"/>
      <c r="AF89" s="598"/>
      <c r="AG89" s="598"/>
      <c r="AH89" s="598"/>
      <c r="AI89" s="598"/>
      <c r="AJ89" s="598"/>
      <c r="AK89" s="598"/>
      <c r="AL89" s="598"/>
      <c r="AM89" s="598"/>
      <c r="AN89" s="598"/>
      <c r="AO89" s="598"/>
      <c r="AP89" s="598"/>
      <c r="AQ89" s="598"/>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8"/>
      <c r="BU89" s="598"/>
      <c r="BV89" s="598"/>
      <c r="BW89" s="598"/>
      <c r="BX89" s="598"/>
      <c r="BY89" s="598"/>
      <c r="BZ89" s="598"/>
      <c r="CA89" s="598"/>
      <c r="CB89" s="598"/>
      <c r="CC89" s="598"/>
      <c r="CD89" s="598"/>
      <c r="CE89" s="598"/>
      <c r="CF89" s="598"/>
      <c r="CG89" s="598"/>
      <c r="CH89" s="598"/>
      <c r="CI89" s="598"/>
      <c r="CJ89" s="598"/>
      <c r="CK89" s="598"/>
      <c r="CL89" s="598"/>
      <c r="CM89" s="598"/>
      <c r="CN89" s="598"/>
      <c r="CO89" s="598"/>
      <c r="CP89" s="598"/>
      <c r="CQ89" s="598"/>
      <c r="CR89" s="598"/>
      <c r="CS89" s="598"/>
      <c r="CT89" s="598"/>
      <c r="CU89" s="598"/>
      <c r="CV89" s="598"/>
      <c r="CW89" s="598"/>
      <c r="CX89" s="598"/>
      <c r="CY89" s="598"/>
      <c r="CZ89" s="598"/>
      <c r="DA89" s="598"/>
      <c r="DB89" s="598"/>
      <c r="DC89" s="598"/>
      <c r="DD89" s="598"/>
      <c r="DE89" s="598"/>
      <c r="DF89" s="598"/>
      <c r="DG89" s="598"/>
      <c r="DH89" s="598"/>
      <c r="DI89" s="598"/>
      <c r="DJ89" s="598"/>
      <c r="DK89" s="598"/>
      <c r="DL89" s="598"/>
      <c r="DM89" s="598"/>
      <c r="DN89" s="598"/>
      <c r="DO89" s="598"/>
      <c r="DP89" s="598"/>
      <c r="DQ89" s="598"/>
      <c r="DR89" s="598"/>
      <c r="DS89" s="598"/>
      <c r="DT89" s="598"/>
      <c r="DU89" s="598"/>
      <c r="DV89" s="598"/>
      <c r="DW89" s="598"/>
      <c r="DX89" s="598"/>
      <c r="DY89" s="598"/>
      <c r="DZ89" s="598"/>
      <c r="EA89" s="598"/>
      <c r="EB89" s="598"/>
      <c r="EC89" s="598"/>
      <c r="ED89" s="598"/>
      <c r="EE89" s="598"/>
      <c r="EF89" s="598"/>
      <c r="EG89" s="598"/>
      <c r="EH89" s="598"/>
      <c r="EI89" s="598"/>
      <c r="EJ89" s="598"/>
      <c r="EK89" s="598"/>
      <c r="EL89" s="598"/>
      <c r="EM89" s="598"/>
      <c r="EN89" s="598"/>
      <c r="EO89" s="598"/>
      <c r="EP89" s="598"/>
      <c r="EQ89" s="598"/>
      <c r="ER89" s="598"/>
      <c r="ES89" s="598"/>
      <c r="ET89" s="598"/>
      <c r="EU89" s="598"/>
      <c r="EV89" s="598"/>
      <c r="EW89" s="598"/>
      <c r="EX89" s="598"/>
      <c r="EY89" s="598"/>
      <c r="EZ89" s="598"/>
      <c r="FA89" s="598"/>
      <c r="FB89" s="598"/>
      <c r="FC89" s="598"/>
      <c r="FD89" s="598"/>
      <c r="FE89" s="598"/>
      <c r="FF89" s="598"/>
      <c r="FG89" s="598"/>
      <c r="FH89" s="598"/>
      <c r="FI89" s="598"/>
      <c r="FJ89" s="598"/>
      <c r="FK89" s="598"/>
      <c r="FL89" s="598"/>
      <c r="FM89" s="598"/>
      <c r="FN89" s="598"/>
      <c r="FO89" s="598"/>
      <c r="FP89" s="598"/>
      <c r="FQ89" s="598"/>
      <c r="FR89" s="598"/>
      <c r="FS89" s="598"/>
      <c r="FT89" s="598"/>
      <c r="FU89" s="598"/>
      <c r="FV89" s="598"/>
      <c r="FW89" s="598"/>
      <c r="FX89" s="598"/>
      <c r="FY89" s="598"/>
      <c r="FZ89" s="598"/>
      <c r="GA89" s="598"/>
      <c r="GB89" s="598"/>
      <c r="GC89" s="598"/>
      <c r="GD89" s="598"/>
      <c r="GE89" s="598"/>
      <c r="GF89" s="598"/>
      <c r="GG89" s="598"/>
      <c r="GH89" s="598"/>
      <c r="GI89" s="598"/>
      <c r="GJ89" s="598"/>
      <c r="GK89" s="598"/>
      <c r="GL89" s="598"/>
      <c r="GM89" s="598"/>
      <c r="GN89" s="598"/>
      <c r="GO89" s="598"/>
      <c r="GP89" s="598"/>
      <c r="GQ89" s="598"/>
      <c r="GR89" s="598"/>
      <c r="GS89" s="598"/>
      <c r="GT89" s="598"/>
      <c r="GU89" s="598"/>
      <c r="GV89" s="598"/>
      <c r="GW89" s="598"/>
      <c r="GX89" s="598"/>
      <c r="GY89" s="598"/>
      <c r="GZ89" s="598"/>
      <c r="HA89" s="598"/>
      <c r="HB89" s="598"/>
      <c r="HC89" s="598"/>
      <c r="HD89" s="598"/>
      <c r="HE89" s="598"/>
      <c r="HF89" s="598"/>
      <c r="HG89" s="598"/>
      <c r="HH89" s="598"/>
      <c r="HI89" s="598"/>
      <c r="HJ89" s="598"/>
      <c r="HK89" s="598"/>
      <c r="HL89" s="598"/>
      <c r="HM89" s="598"/>
      <c r="HN89" s="598"/>
      <c r="HO89" s="598"/>
      <c r="HP89" s="598"/>
      <c r="HQ89" s="598"/>
      <c r="HR89" s="598"/>
      <c r="HS89" s="598"/>
      <c r="HT89" s="598"/>
      <c r="HU89" s="598"/>
      <c r="HV89" s="598"/>
      <c r="HW89" s="598"/>
      <c r="HX89" s="598"/>
      <c r="HY89" s="598"/>
      <c r="HZ89" s="598"/>
      <c r="IA89" s="598"/>
      <c r="IB89" s="598"/>
      <c r="IC89" s="598"/>
      <c r="ID89" s="598"/>
      <c r="IE89" s="598"/>
      <c r="IF89" s="598"/>
      <c r="IG89" s="598"/>
      <c r="IH89" s="598"/>
      <c r="II89" s="598"/>
      <c r="IJ89" s="598"/>
      <c r="IK89" s="598"/>
      <c r="IL89" s="598"/>
      <c r="IM89" s="598"/>
      <c r="IN89" s="598"/>
      <c r="IO89" s="598"/>
      <c r="IP89" s="598"/>
      <c r="IQ89" s="598"/>
      <c r="IR89" s="598"/>
      <c r="IS89" s="598"/>
      <c r="IT89" s="598"/>
      <c r="IU89" s="598"/>
      <c r="IV89" s="598"/>
    </row>
    <row r="90" spans="1:256" ht="16.5" customHeight="1">
      <c r="A90" s="1"/>
      <c r="B90" s="627"/>
      <c r="C90" s="36"/>
      <c r="D90" s="36"/>
      <c r="E90" s="1068">
        <v>0</v>
      </c>
      <c r="F90" s="1349">
        <v>4</v>
      </c>
      <c r="G90" s="523" t="s">
        <v>819</v>
      </c>
      <c r="H90" s="770"/>
      <c r="I90" s="770"/>
      <c r="J90" s="771"/>
      <c r="K90" s="633">
        <v>2</v>
      </c>
      <c r="L90" s="633">
        <v>1</v>
      </c>
      <c r="M90" s="579">
        <v>0</v>
      </c>
      <c r="N90" s="36"/>
      <c r="O90" s="142"/>
      <c r="P90" s="634">
        <v>2</v>
      </c>
      <c r="Q90" s="314">
        <v>1</v>
      </c>
      <c r="R90" s="635">
        <v>0</v>
      </c>
      <c r="S90" s="412" t="s">
        <v>382</v>
      </c>
      <c r="T90" s="144"/>
      <c r="U90" s="615"/>
      <c r="V90" s="300"/>
      <c r="W90" s="300"/>
      <c r="X90" s="144"/>
      <c r="Y90" s="598"/>
      <c r="Z90" s="598"/>
      <c r="AA90" s="598"/>
      <c r="AB90" s="598"/>
      <c r="AC90" s="598"/>
      <c r="AD90" s="598"/>
      <c r="AE90" s="598"/>
      <c r="AF90" s="598"/>
      <c r="AG90" s="598"/>
      <c r="AH90" s="598"/>
      <c r="AI90" s="598"/>
      <c r="AJ90" s="598"/>
      <c r="AK90" s="598"/>
      <c r="AL90" s="598"/>
      <c r="AM90" s="598"/>
      <c r="AN90" s="598"/>
      <c r="AO90" s="598"/>
      <c r="AP90" s="598"/>
      <c r="AQ90" s="598"/>
      <c r="AR90" s="598"/>
      <c r="AS90" s="598"/>
      <c r="AT90" s="598"/>
      <c r="AU90" s="598"/>
      <c r="AV90" s="598"/>
      <c r="AW90" s="598"/>
      <c r="AX90" s="598"/>
      <c r="AY90" s="598"/>
      <c r="AZ90" s="598"/>
      <c r="BA90" s="598"/>
      <c r="BB90" s="598"/>
      <c r="BC90" s="598"/>
      <c r="BD90" s="598"/>
      <c r="BE90" s="598"/>
      <c r="BF90" s="598"/>
      <c r="BG90" s="598"/>
      <c r="BH90" s="598"/>
      <c r="BI90" s="598"/>
      <c r="BJ90" s="598"/>
      <c r="BK90" s="598"/>
      <c r="BL90" s="598"/>
      <c r="BM90" s="598"/>
      <c r="BN90" s="598"/>
      <c r="BO90" s="598"/>
      <c r="BP90" s="598"/>
      <c r="BQ90" s="598"/>
      <c r="BR90" s="598"/>
      <c r="BS90" s="598"/>
      <c r="BT90" s="598"/>
      <c r="BU90" s="598"/>
      <c r="BV90" s="598"/>
      <c r="BW90" s="598"/>
      <c r="BX90" s="598"/>
      <c r="BY90" s="598"/>
      <c r="BZ90" s="598"/>
      <c r="CA90" s="598"/>
      <c r="CB90" s="598"/>
      <c r="CC90" s="598"/>
      <c r="CD90" s="598"/>
      <c r="CE90" s="598"/>
      <c r="CF90" s="598"/>
      <c r="CG90" s="598"/>
      <c r="CH90" s="598"/>
      <c r="CI90" s="598"/>
      <c r="CJ90" s="598"/>
      <c r="CK90" s="598"/>
      <c r="CL90" s="598"/>
      <c r="CM90" s="598"/>
      <c r="CN90" s="598"/>
      <c r="CO90" s="598"/>
      <c r="CP90" s="598"/>
      <c r="CQ90" s="598"/>
      <c r="CR90" s="598"/>
      <c r="CS90" s="598"/>
      <c r="CT90" s="598"/>
      <c r="CU90" s="598"/>
      <c r="CV90" s="598"/>
      <c r="CW90" s="598"/>
      <c r="CX90" s="598"/>
      <c r="CY90" s="598"/>
      <c r="CZ90" s="598"/>
      <c r="DA90" s="598"/>
      <c r="DB90" s="598"/>
      <c r="DC90" s="598"/>
      <c r="DD90" s="598"/>
      <c r="DE90" s="598"/>
      <c r="DF90" s="598"/>
      <c r="DG90" s="598"/>
      <c r="DH90" s="598"/>
      <c r="DI90" s="598"/>
      <c r="DJ90" s="598"/>
      <c r="DK90" s="598"/>
      <c r="DL90" s="598"/>
      <c r="DM90" s="598"/>
      <c r="DN90" s="598"/>
      <c r="DO90" s="598"/>
      <c r="DP90" s="598"/>
      <c r="DQ90" s="598"/>
      <c r="DR90" s="598"/>
      <c r="DS90" s="598"/>
      <c r="DT90" s="598"/>
      <c r="DU90" s="598"/>
      <c r="DV90" s="598"/>
      <c r="DW90" s="598"/>
      <c r="DX90" s="598"/>
      <c r="DY90" s="598"/>
      <c r="DZ90" s="598"/>
      <c r="EA90" s="598"/>
      <c r="EB90" s="598"/>
      <c r="EC90" s="598"/>
      <c r="ED90" s="598"/>
      <c r="EE90" s="598"/>
      <c r="EF90" s="598"/>
      <c r="EG90" s="598"/>
      <c r="EH90" s="598"/>
      <c r="EI90" s="598"/>
      <c r="EJ90" s="598"/>
      <c r="EK90" s="598"/>
      <c r="EL90" s="598"/>
      <c r="EM90" s="598"/>
      <c r="EN90" s="598"/>
      <c r="EO90" s="598"/>
      <c r="EP90" s="598"/>
      <c r="EQ90" s="598"/>
      <c r="ER90" s="598"/>
      <c r="ES90" s="598"/>
      <c r="ET90" s="598"/>
      <c r="EU90" s="598"/>
      <c r="EV90" s="598"/>
      <c r="EW90" s="598"/>
      <c r="EX90" s="598"/>
      <c r="EY90" s="598"/>
      <c r="EZ90" s="598"/>
      <c r="FA90" s="598"/>
      <c r="FB90" s="598"/>
      <c r="FC90" s="598"/>
      <c r="FD90" s="598"/>
      <c r="FE90" s="598"/>
      <c r="FF90" s="598"/>
      <c r="FG90" s="598"/>
      <c r="FH90" s="598"/>
      <c r="FI90" s="598"/>
      <c r="FJ90" s="598"/>
      <c r="FK90" s="598"/>
      <c r="FL90" s="598"/>
      <c r="FM90" s="598"/>
      <c r="FN90" s="598"/>
      <c r="FO90" s="598"/>
      <c r="FP90" s="598"/>
      <c r="FQ90" s="598"/>
      <c r="FR90" s="598"/>
      <c r="FS90" s="598"/>
      <c r="FT90" s="598"/>
      <c r="FU90" s="598"/>
      <c r="FV90" s="598"/>
      <c r="FW90" s="598"/>
      <c r="FX90" s="598"/>
      <c r="FY90" s="598"/>
      <c r="FZ90" s="598"/>
      <c r="GA90" s="598"/>
      <c r="GB90" s="598"/>
      <c r="GC90" s="598"/>
      <c r="GD90" s="598"/>
      <c r="GE90" s="598"/>
      <c r="GF90" s="598"/>
      <c r="GG90" s="598"/>
      <c r="GH90" s="598"/>
      <c r="GI90" s="598"/>
      <c r="GJ90" s="598"/>
      <c r="GK90" s="598"/>
      <c r="GL90" s="598"/>
      <c r="GM90" s="598"/>
      <c r="GN90" s="598"/>
      <c r="GO90" s="598"/>
      <c r="GP90" s="598"/>
      <c r="GQ90" s="598"/>
      <c r="GR90" s="598"/>
      <c r="GS90" s="598"/>
      <c r="GT90" s="598"/>
      <c r="GU90" s="598"/>
      <c r="GV90" s="598"/>
      <c r="GW90" s="598"/>
      <c r="GX90" s="598"/>
      <c r="GY90" s="598"/>
      <c r="GZ90" s="598"/>
      <c r="HA90" s="598"/>
      <c r="HB90" s="598"/>
      <c r="HC90" s="598"/>
      <c r="HD90" s="598"/>
      <c r="HE90" s="598"/>
      <c r="HF90" s="598"/>
      <c r="HG90" s="598"/>
      <c r="HH90" s="598"/>
      <c r="HI90" s="598"/>
      <c r="HJ90" s="598"/>
      <c r="HK90" s="598"/>
      <c r="HL90" s="598"/>
      <c r="HM90" s="598"/>
      <c r="HN90" s="598"/>
      <c r="HO90" s="598"/>
      <c r="HP90" s="598"/>
      <c r="HQ90" s="598"/>
      <c r="HR90" s="598"/>
      <c r="HS90" s="598"/>
      <c r="HT90" s="598"/>
      <c r="HU90" s="598"/>
      <c r="HV90" s="598"/>
      <c r="HW90" s="598"/>
      <c r="HX90" s="598"/>
      <c r="HY90" s="598"/>
      <c r="HZ90" s="598"/>
      <c r="IA90" s="598"/>
      <c r="IB90" s="598"/>
      <c r="IC90" s="598"/>
      <c r="ID90" s="598"/>
      <c r="IE90" s="598"/>
      <c r="IF90" s="598"/>
      <c r="IG90" s="598"/>
      <c r="IH90" s="598"/>
      <c r="II90" s="598"/>
      <c r="IJ90" s="598"/>
      <c r="IK90" s="598"/>
      <c r="IL90" s="598"/>
      <c r="IM90" s="598"/>
      <c r="IN90" s="598"/>
      <c r="IO90" s="598"/>
      <c r="IP90" s="598"/>
      <c r="IQ90" s="598"/>
      <c r="IR90" s="598"/>
      <c r="IS90" s="598"/>
      <c r="IT90" s="598"/>
      <c r="IU90" s="598"/>
      <c r="IV90" s="598"/>
    </row>
    <row r="91" spans="1:256" ht="16.5" customHeight="1" thickBot="1">
      <c r="A91" s="1"/>
      <c r="B91" s="627"/>
      <c r="C91" s="36"/>
      <c r="D91" s="36"/>
      <c r="E91" s="1069">
        <v>0</v>
      </c>
      <c r="F91" s="797">
        <v>5</v>
      </c>
      <c r="G91" s="522" t="s">
        <v>820</v>
      </c>
      <c r="H91" s="1348"/>
      <c r="I91" s="1348"/>
      <c r="J91" s="1348"/>
      <c r="K91" s="633">
        <v>2</v>
      </c>
      <c r="L91" s="633">
        <v>1</v>
      </c>
      <c r="M91" s="579">
        <v>0</v>
      </c>
      <c r="N91" s="36"/>
      <c r="O91" s="142"/>
      <c r="P91" s="634">
        <v>2</v>
      </c>
      <c r="Q91" s="314">
        <v>1</v>
      </c>
      <c r="R91" s="635">
        <v>0</v>
      </c>
      <c r="S91" s="412" t="s">
        <v>382</v>
      </c>
      <c r="T91" s="144"/>
      <c r="U91" s="615"/>
      <c r="V91" s="300"/>
      <c r="W91" s="300"/>
      <c r="X91" s="144"/>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598"/>
      <c r="AY91" s="598"/>
      <c r="AZ91" s="598"/>
      <c r="BA91" s="598"/>
      <c r="BB91" s="598"/>
      <c r="BC91" s="598"/>
      <c r="BD91" s="598"/>
      <c r="BE91" s="598"/>
      <c r="BF91" s="598"/>
      <c r="BG91" s="598"/>
      <c r="BH91" s="598"/>
      <c r="BI91" s="598"/>
      <c r="BJ91" s="598"/>
      <c r="BK91" s="598"/>
      <c r="BL91" s="598"/>
      <c r="BM91" s="598"/>
      <c r="BN91" s="598"/>
      <c r="BO91" s="598"/>
      <c r="BP91" s="598"/>
      <c r="BQ91" s="598"/>
      <c r="BR91" s="598"/>
      <c r="BS91" s="598"/>
      <c r="BT91" s="598"/>
      <c r="BU91" s="598"/>
      <c r="BV91" s="598"/>
      <c r="BW91" s="598"/>
      <c r="BX91" s="598"/>
      <c r="BY91" s="598"/>
      <c r="BZ91" s="598"/>
      <c r="CA91" s="598"/>
      <c r="CB91" s="598"/>
      <c r="CC91" s="598"/>
      <c r="CD91" s="598"/>
      <c r="CE91" s="598"/>
      <c r="CF91" s="598"/>
      <c r="CG91" s="598"/>
      <c r="CH91" s="598"/>
      <c r="CI91" s="598"/>
      <c r="CJ91" s="598"/>
      <c r="CK91" s="598"/>
      <c r="CL91" s="598"/>
      <c r="CM91" s="598"/>
      <c r="CN91" s="598"/>
      <c r="CO91" s="598"/>
      <c r="CP91" s="598"/>
      <c r="CQ91" s="598"/>
      <c r="CR91" s="598"/>
      <c r="CS91" s="598"/>
      <c r="CT91" s="598"/>
      <c r="CU91" s="598"/>
      <c r="CV91" s="598"/>
      <c r="CW91" s="598"/>
      <c r="CX91" s="598"/>
      <c r="CY91" s="598"/>
      <c r="CZ91" s="598"/>
      <c r="DA91" s="598"/>
      <c r="DB91" s="598"/>
      <c r="DC91" s="598"/>
      <c r="DD91" s="598"/>
      <c r="DE91" s="598"/>
      <c r="DF91" s="598"/>
      <c r="DG91" s="598"/>
      <c r="DH91" s="598"/>
      <c r="DI91" s="598"/>
      <c r="DJ91" s="598"/>
      <c r="DK91" s="598"/>
      <c r="DL91" s="598"/>
      <c r="DM91" s="598"/>
      <c r="DN91" s="598"/>
      <c r="DO91" s="598"/>
      <c r="DP91" s="598"/>
      <c r="DQ91" s="598"/>
      <c r="DR91" s="598"/>
      <c r="DS91" s="598"/>
      <c r="DT91" s="598"/>
      <c r="DU91" s="598"/>
      <c r="DV91" s="598"/>
      <c r="DW91" s="598"/>
      <c r="DX91" s="598"/>
      <c r="DY91" s="598"/>
      <c r="DZ91" s="598"/>
      <c r="EA91" s="598"/>
      <c r="EB91" s="598"/>
      <c r="EC91" s="598"/>
      <c r="ED91" s="598"/>
      <c r="EE91" s="598"/>
      <c r="EF91" s="598"/>
      <c r="EG91" s="598"/>
      <c r="EH91" s="598"/>
      <c r="EI91" s="598"/>
      <c r="EJ91" s="598"/>
      <c r="EK91" s="598"/>
      <c r="EL91" s="598"/>
      <c r="EM91" s="598"/>
      <c r="EN91" s="598"/>
      <c r="EO91" s="598"/>
      <c r="EP91" s="598"/>
      <c r="EQ91" s="598"/>
      <c r="ER91" s="598"/>
      <c r="ES91" s="598"/>
      <c r="ET91" s="598"/>
      <c r="EU91" s="598"/>
      <c r="EV91" s="598"/>
      <c r="EW91" s="598"/>
      <c r="EX91" s="598"/>
      <c r="EY91" s="598"/>
      <c r="EZ91" s="598"/>
      <c r="FA91" s="598"/>
      <c r="FB91" s="598"/>
      <c r="FC91" s="598"/>
      <c r="FD91" s="598"/>
      <c r="FE91" s="598"/>
      <c r="FF91" s="598"/>
      <c r="FG91" s="598"/>
      <c r="FH91" s="598"/>
      <c r="FI91" s="598"/>
      <c r="FJ91" s="598"/>
      <c r="FK91" s="598"/>
      <c r="FL91" s="598"/>
      <c r="FM91" s="598"/>
      <c r="FN91" s="598"/>
      <c r="FO91" s="598"/>
      <c r="FP91" s="598"/>
      <c r="FQ91" s="598"/>
      <c r="FR91" s="598"/>
      <c r="FS91" s="598"/>
      <c r="FT91" s="598"/>
      <c r="FU91" s="598"/>
      <c r="FV91" s="598"/>
      <c r="FW91" s="598"/>
      <c r="FX91" s="598"/>
      <c r="FY91" s="598"/>
      <c r="FZ91" s="598"/>
      <c r="GA91" s="598"/>
      <c r="GB91" s="598"/>
      <c r="GC91" s="598"/>
      <c r="GD91" s="598"/>
      <c r="GE91" s="598"/>
      <c r="GF91" s="598"/>
      <c r="GG91" s="598"/>
      <c r="GH91" s="598"/>
      <c r="GI91" s="598"/>
      <c r="GJ91" s="598"/>
      <c r="GK91" s="598"/>
      <c r="GL91" s="598"/>
      <c r="GM91" s="598"/>
      <c r="GN91" s="598"/>
      <c r="GO91" s="598"/>
      <c r="GP91" s="598"/>
      <c r="GQ91" s="598"/>
      <c r="GR91" s="598"/>
      <c r="GS91" s="598"/>
      <c r="GT91" s="598"/>
      <c r="GU91" s="598"/>
      <c r="GV91" s="598"/>
      <c r="GW91" s="598"/>
      <c r="GX91" s="598"/>
      <c r="GY91" s="598"/>
      <c r="GZ91" s="598"/>
      <c r="HA91" s="598"/>
      <c r="HB91" s="598"/>
      <c r="HC91" s="598"/>
      <c r="HD91" s="598"/>
      <c r="HE91" s="598"/>
      <c r="HF91" s="598"/>
      <c r="HG91" s="598"/>
      <c r="HH91" s="598"/>
      <c r="HI91" s="598"/>
      <c r="HJ91" s="598"/>
      <c r="HK91" s="598"/>
      <c r="HL91" s="598"/>
      <c r="HM91" s="598"/>
      <c r="HN91" s="598"/>
      <c r="HO91" s="598"/>
      <c r="HP91" s="598"/>
      <c r="HQ91" s="598"/>
      <c r="HR91" s="598"/>
      <c r="HS91" s="598"/>
      <c r="HT91" s="598"/>
      <c r="HU91" s="598"/>
      <c r="HV91" s="598"/>
      <c r="HW91" s="598"/>
      <c r="HX91" s="598"/>
      <c r="HY91" s="598"/>
      <c r="HZ91" s="598"/>
      <c r="IA91" s="598"/>
      <c r="IB91" s="598"/>
      <c r="IC91" s="598"/>
      <c r="ID91" s="598"/>
      <c r="IE91" s="598"/>
      <c r="IF91" s="598"/>
      <c r="IG91" s="598"/>
      <c r="IH91" s="598"/>
      <c r="II91" s="598"/>
      <c r="IJ91" s="598"/>
      <c r="IK91" s="598"/>
      <c r="IL91" s="598"/>
      <c r="IM91" s="598"/>
      <c r="IN91" s="598"/>
      <c r="IO91" s="598"/>
      <c r="IP91" s="598"/>
      <c r="IQ91" s="598"/>
      <c r="IR91" s="598"/>
      <c r="IS91" s="598"/>
      <c r="IT91" s="598"/>
      <c r="IU91" s="598"/>
      <c r="IV91" s="598"/>
    </row>
    <row r="92" spans="1:256" ht="16.5" customHeight="1">
      <c r="A92" s="1"/>
      <c r="B92" s="377"/>
      <c r="C92" s="608"/>
      <c r="D92" s="608"/>
      <c r="E92" s="1033" t="s">
        <v>249</v>
      </c>
      <c r="F92" s="556">
        <f>SUM(E87:E91)</f>
        <v>4</v>
      </c>
      <c r="G92" s="1034" t="s">
        <v>774</v>
      </c>
      <c r="H92" s="556">
        <f>SUM(P87:P91)-COUNTIF(E87:E91,S87)*2</f>
        <v>10</v>
      </c>
      <c r="I92" s="2516"/>
      <c r="J92" s="2516"/>
      <c r="K92" s="2517" t="s">
        <v>775</v>
      </c>
      <c r="L92" s="2517"/>
      <c r="M92" s="1035">
        <f>F92/H92</f>
        <v>0.4</v>
      </c>
      <c r="N92" s="608"/>
      <c r="O92" s="142"/>
      <c r="P92" s="1023"/>
      <c r="Q92" s="142"/>
      <c r="R92" s="300"/>
      <c r="S92" s="144"/>
      <c r="T92" s="144"/>
      <c r="U92" s="1023"/>
      <c r="V92" s="300"/>
      <c r="W92" s="300"/>
      <c r="X92" s="144"/>
      <c r="Y92" s="1036"/>
      <c r="Z92" s="1036"/>
      <c r="AA92" s="1036"/>
      <c r="AB92" s="1036"/>
      <c r="AC92" s="1036"/>
      <c r="AD92" s="1036"/>
      <c r="AE92" s="1036"/>
      <c r="AF92" s="1036"/>
      <c r="AG92" s="1036"/>
      <c r="AH92" s="1036"/>
      <c r="AI92" s="1036"/>
      <c r="AJ92" s="1036"/>
      <c r="AK92" s="1036"/>
      <c r="AL92" s="1036"/>
      <c r="AM92" s="1036"/>
      <c r="AN92" s="1036"/>
      <c r="AO92" s="1036"/>
      <c r="AP92" s="1036"/>
      <c r="AQ92" s="1036"/>
      <c r="AR92" s="1036"/>
      <c r="AS92" s="1036"/>
      <c r="AT92" s="1036"/>
      <c r="AU92" s="1036"/>
      <c r="AV92" s="1036"/>
      <c r="AW92" s="1036"/>
      <c r="AX92" s="1036"/>
      <c r="AY92" s="1036"/>
      <c r="AZ92" s="1036"/>
      <c r="BA92" s="1036"/>
      <c r="BB92" s="1036"/>
      <c r="BC92" s="1036"/>
      <c r="BD92" s="1036"/>
      <c r="BE92" s="1036"/>
      <c r="BF92" s="1036"/>
      <c r="BG92" s="1036"/>
      <c r="BH92" s="1036"/>
      <c r="BI92" s="1036"/>
      <c r="BJ92" s="1036"/>
      <c r="BK92" s="1036"/>
      <c r="BL92" s="1036"/>
      <c r="BM92" s="1036"/>
      <c r="BN92" s="1036"/>
      <c r="BO92" s="1036"/>
      <c r="BP92" s="1036"/>
      <c r="BQ92" s="1036"/>
      <c r="BR92" s="1036"/>
      <c r="BS92" s="1036"/>
      <c r="BT92" s="1036"/>
      <c r="BU92" s="1036"/>
      <c r="BV92" s="1036"/>
      <c r="BW92" s="1036"/>
      <c r="BX92" s="1036"/>
      <c r="BY92" s="1036"/>
      <c r="BZ92" s="1036"/>
      <c r="CA92" s="1036"/>
      <c r="CB92" s="1036"/>
      <c r="CC92" s="1036"/>
      <c r="CD92" s="1036"/>
      <c r="CE92" s="1036"/>
      <c r="CF92" s="1036"/>
      <c r="CG92" s="1036"/>
      <c r="CH92" s="1036"/>
      <c r="CI92" s="1036"/>
      <c r="CJ92" s="1036"/>
      <c r="CK92" s="1036"/>
      <c r="CL92" s="1036"/>
      <c r="CM92" s="1036"/>
      <c r="CN92" s="1036"/>
      <c r="CO92" s="1036"/>
      <c r="CP92" s="1036"/>
      <c r="CQ92" s="1036"/>
      <c r="CR92" s="1036"/>
      <c r="CS92" s="1036"/>
      <c r="CT92" s="1036"/>
      <c r="CU92" s="1036"/>
      <c r="CV92" s="1036"/>
      <c r="CW92" s="1036"/>
      <c r="CX92" s="1036"/>
      <c r="CY92" s="1036"/>
      <c r="CZ92" s="1036"/>
      <c r="DA92" s="1036"/>
      <c r="DB92" s="1036"/>
      <c r="DC92" s="1036"/>
      <c r="DD92" s="1036"/>
      <c r="DE92" s="1036"/>
      <c r="DF92" s="1036"/>
      <c r="DG92" s="1036"/>
      <c r="DH92" s="1036"/>
      <c r="DI92" s="1036"/>
      <c r="DJ92" s="1036"/>
      <c r="DK92" s="1036"/>
      <c r="DL92" s="1036"/>
      <c r="DM92" s="1036"/>
      <c r="DN92" s="1036"/>
      <c r="DO92" s="1036"/>
      <c r="DP92" s="1036"/>
      <c r="DQ92" s="1036"/>
      <c r="DR92" s="1036"/>
      <c r="DS92" s="1036"/>
      <c r="DT92" s="1036"/>
      <c r="DU92" s="1036"/>
      <c r="DV92" s="1036"/>
      <c r="DW92" s="1036"/>
      <c r="DX92" s="1036"/>
      <c r="DY92" s="1036"/>
      <c r="DZ92" s="1036"/>
      <c r="EA92" s="1036"/>
      <c r="EB92" s="1036"/>
      <c r="EC92" s="1036"/>
      <c r="ED92" s="1036"/>
      <c r="EE92" s="1036"/>
      <c r="EF92" s="1036"/>
      <c r="EG92" s="1036"/>
      <c r="EH92" s="1036"/>
      <c r="EI92" s="1036"/>
      <c r="EJ92" s="1036"/>
      <c r="EK92" s="1036"/>
      <c r="EL92" s="1036"/>
      <c r="EM92" s="1036"/>
      <c r="EN92" s="1036"/>
      <c r="EO92" s="1036"/>
      <c r="EP92" s="1036"/>
      <c r="EQ92" s="1036"/>
      <c r="ER92" s="1036"/>
      <c r="ES92" s="1036"/>
      <c r="ET92" s="1036"/>
      <c r="EU92" s="1036"/>
      <c r="EV92" s="1036"/>
      <c r="EW92" s="1036"/>
      <c r="EX92" s="1036"/>
      <c r="EY92" s="1036"/>
      <c r="EZ92" s="1036"/>
      <c r="FA92" s="1036"/>
      <c r="FB92" s="1036"/>
      <c r="FC92" s="1036"/>
      <c r="FD92" s="1036"/>
      <c r="FE92" s="1036"/>
      <c r="FF92" s="1036"/>
      <c r="FG92" s="1036"/>
      <c r="FH92" s="1036"/>
      <c r="FI92" s="1036"/>
      <c r="FJ92" s="1036"/>
      <c r="FK92" s="1036"/>
      <c r="FL92" s="1036"/>
      <c r="FM92" s="1036"/>
      <c r="FN92" s="1036"/>
      <c r="FO92" s="1036"/>
      <c r="FP92" s="1036"/>
      <c r="FQ92" s="1036"/>
      <c r="FR92" s="1036"/>
      <c r="FS92" s="1036"/>
      <c r="FT92" s="1036"/>
      <c r="FU92" s="1036"/>
      <c r="FV92" s="1036"/>
      <c r="FW92" s="1036"/>
      <c r="FX92" s="1036"/>
      <c r="FY92" s="1036"/>
      <c r="FZ92" s="1036"/>
      <c r="GA92" s="1036"/>
      <c r="GB92" s="1036"/>
      <c r="GC92" s="1036"/>
      <c r="GD92" s="1036"/>
      <c r="GE92" s="1036"/>
      <c r="GF92" s="1036"/>
      <c r="GG92" s="1036"/>
      <c r="GH92" s="1036"/>
      <c r="GI92" s="1036"/>
      <c r="GJ92" s="1036"/>
      <c r="GK92" s="1036"/>
      <c r="GL92" s="1036"/>
      <c r="GM92" s="1036"/>
      <c r="GN92" s="1036"/>
      <c r="GO92" s="1036"/>
      <c r="GP92" s="1036"/>
      <c r="GQ92" s="1036"/>
      <c r="GR92" s="1036"/>
      <c r="GS92" s="1036"/>
      <c r="GT92" s="1036"/>
      <c r="GU92" s="1036"/>
      <c r="GV92" s="1036"/>
      <c r="GW92" s="1036"/>
      <c r="GX92" s="1036"/>
      <c r="GY92" s="1036"/>
      <c r="GZ92" s="1036"/>
      <c r="HA92" s="1036"/>
      <c r="HB92" s="1036"/>
      <c r="HC92" s="1036"/>
      <c r="HD92" s="1036"/>
      <c r="HE92" s="1036"/>
      <c r="HF92" s="1036"/>
      <c r="HG92" s="1036"/>
      <c r="HH92" s="1036"/>
      <c r="HI92" s="1036"/>
      <c r="HJ92" s="1036"/>
      <c r="HK92" s="1036"/>
      <c r="HL92" s="1036"/>
      <c r="HM92" s="1036"/>
      <c r="HN92" s="1036"/>
      <c r="HO92" s="1036"/>
      <c r="HP92" s="1036"/>
      <c r="HQ92" s="1036"/>
      <c r="HR92" s="1036"/>
      <c r="HS92" s="1036"/>
      <c r="HT92" s="1036"/>
      <c r="HU92" s="1036"/>
      <c r="HV92" s="1036"/>
      <c r="HW92" s="1036"/>
      <c r="HX92" s="1036"/>
      <c r="HY92" s="1036"/>
      <c r="HZ92" s="1036"/>
      <c r="IA92" s="1036"/>
      <c r="IB92" s="1036"/>
      <c r="IC92" s="1036"/>
      <c r="ID92" s="1036"/>
      <c r="IE92" s="1036"/>
      <c r="IF92" s="1036"/>
      <c r="IG92" s="1036"/>
      <c r="IH92" s="1036"/>
      <c r="II92" s="1036"/>
      <c r="IJ92" s="1036"/>
      <c r="IK92" s="1036"/>
      <c r="IL92" s="1036"/>
      <c r="IM92" s="1036"/>
      <c r="IN92" s="1036"/>
      <c r="IO92" s="1036"/>
      <c r="IP92" s="1036"/>
      <c r="IQ92" s="1036"/>
      <c r="IR92" s="1036"/>
      <c r="IS92" s="1036"/>
      <c r="IT92" s="1036"/>
      <c r="IU92" s="1036"/>
      <c r="IV92" s="1036"/>
    </row>
    <row r="93" spans="1:256" s="37" customFormat="1" ht="16.5" customHeight="1">
      <c r="A93" s="26"/>
      <c r="B93" s="627"/>
      <c r="C93" s="36"/>
      <c r="D93" s="36"/>
      <c r="E93" s="1058" t="s">
        <v>360</v>
      </c>
      <c r="F93" s="36"/>
      <c r="G93" s="36"/>
      <c r="H93" s="36"/>
      <c r="I93" s="36"/>
      <c r="J93" s="36"/>
      <c r="K93" s="36"/>
      <c r="L93" s="36"/>
      <c r="M93" s="36"/>
      <c r="N93" s="36"/>
      <c r="O93" s="142"/>
      <c r="P93" s="1861"/>
      <c r="Q93" s="142"/>
      <c r="R93" s="144"/>
      <c r="S93" s="144"/>
      <c r="T93" s="144"/>
      <c r="U93" s="1861"/>
      <c r="V93" s="144"/>
      <c r="W93" s="144"/>
      <c r="X93" s="144"/>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598"/>
      <c r="AY93" s="598"/>
      <c r="AZ93" s="598"/>
      <c r="BA93" s="598"/>
      <c r="BB93" s="598"/>
      <c r="BC93" s="598"/>
      <c r="BD93" s="598"/>
      <c r="BE93" s="598"/>
      <c r="BF93" s="598"/>
      <c r="BG93" s="598"/>
      <c r="BH93" s="598"/>
      <c r="BI93" s="598"/>
      <c r="BJ93" s="598"/>
      <c r="BK93" s="598"/>
      <c r="BL93" s="598"/>
      <c r="BM93" s="598"/>
      <c r="BN93" s="598"/>
      <c r="BO93" s="598"/>
      <c r="BP93" s="598"/>
      <c r="BQ93" s="598"/>
      <c r="BR93" s="598"/>
      <c r="BS93" s="598"/>
      <c r="BT93" s="598"/>
      <c r="BU93" s="598"/>
      <c r="BV93" s="598"/>
      <c r="BW93" s="598"/>
      <c r="BX93" s="598"/>
      <c r="BY93" s="598"/>
      <c r="BZ93" s="598"/>
      <c r="CA93" s="598"/>
      <c r="CB93" s="598"/>
      <c r="CC93" s="598"/>
      <c r="CD93" s="598"/>
      <c r="CE93" s="598"/>
      <c r="CF93" s="598"/>
      <c r="CG93" s="598"/>
      <c r="CH93" s="598"/>
      <c r="CI93" s="598"/>
      <c r="CJ93" s="598"/>
      <c r="CK93" s="598"/>
      <c r="CL93" s="598"/>
      <c r="CM93" s="598"/>
      <c r="CN93" s="598"/>
      <c r="CO93" s="598"/>
      <c r="CP93" s="598"/>
      <c r="CQ93" s="598"/>
      <c r="CR93" s="598"/>
      <c r="CS93" s="598"/>
      <c r="CT93" s="598"/>
      <c r="CU93" s="598"/>
      <c r="CV93" s="598"/>
      <c r="CW93" s="598"/>
      <c r="CX93" s="598"/>
      <c r="CY93" s="598"/>
      <c r="CZ93" s="598"/>
      <c r="DA93" s="598"/>
      <c r="DB93" s="598"/>
      <c r="DC93" s="598"/>
      <c r="DD93" s="598"/>
      <c r="DE93" s="598"/>
      <c r="DF93" s="598"/>
      <c r="DG93" s="598"/>
      <c r="DH93" s="598"/>
      <c r="DI93" s="598"/>
      <c r="DJ93" s="598"/>
      <c r="DK93" s="598"/>
      <c r="DL93" s="598"/>
      <c r="DM93" s="598"/>
      <c r="DN93" s="598"/>
      <c r="DO93" s="598"/>
      <c r="DP93" s="598"/>
      <c r="DQ93" s="598"/>
      <c r="DR93" s="598"/>
      <c r="DS93" s="598"/>
      <c r="DT93" s="598"/>
      <c r="DU93" s="598"/>
      <c r="DV93" s="598"/>
      <c r="DW93" s="598"/>
      <c r="DX93" s="598"/>
      <c r="DY93" s="598"/>
      <c r="DZ93" s="598"/>
      <c r="EA93" s="598"/>
      <c r="EB93" s="598"/>
      <c r="EC93" s="598"/>
      <c r="ED93" s="598"/>
      <c r="EE93" s="598"/>
      <c r="EF93" s="598"/>
      <c r="EG93" s="598"/>
      <c r="EH93" s="598"/>
      <c r="EI93" s="598"/>
      <c r="EJ93" s="598"/>
      <c r="EK93" s="598"/>
      <c r="EL93" s="598"/>
      <c r="EM93" s="598"/>
      <c r="EN93" s="598"/>
      <c r="EO93" s="598"/>
      <c r="EP93" s="598"/>
      <c r="EQ93" s="598"/>
      <c r="ER93" s="598"/>
      <c r="ES93" s="598"/>
      <c r="ET93" s="598"/>
      <c r="EU93" s="598"/>
      <c r="EV93" s="598"/>
      <c r="EW93" s="598"/>
      <c r="EX93" s="598"/>
      <c r="EY93" s="598"/>
      <c r="EZ93" s="598"/>
      <c r="FA93" s="598"/>
      <c r="FB93" s="598"/>
      <c r="FC93" s="598"/>
      <c r="FD93" s="598"/>
      <c r="FE93" s="598"/>
      <c r="FF93" s="598"/>
      <c r="FG93" s="598"/>
      <c r="FH93" s="598"/>
      <c r="FI93" s="598"/>
      <c r="FJ93" s="598"/>
      <c r="FK93" s="598"/>
      <c r="FL93" s="598"/>
      <c r="FM93" s="598"/>
      <c r="FN93" s="598"/>
      <c r="FO93" s="598"/>
      <c r="FP93" s="598"/>
      <c r="FQ93" s="598"/>
      <c r="FR93" s="598"/>
      <c r="FS93" s="598"/>
      <c r="FT93" s="598"/>
      <c r="FU93" s="598"/>
      <c r="FV93" s="598"/>
      <c r="FW93" s="598"/>
      <c r="FX93" s="598"/>
      <c r="FY93" s="598"/>
      <c r="FZ93" s="598"/>
      <c r="GA93" s="598"/>
      <c r="GB93" s="598"/>
      <c r="GC93" s="598"/>
      <c r="GD93" s="598"/>
      <c r="GE93" s="598"/>
      <c r="GF93" s="598"/>
      <c r="GG93" s="598"/>
      <c r="GH93" s="598"/>
      <c r="GI93" s="598"/>
      <c r="GJ93" s="598"/>
      <c r="GK93" s="598"/>
      <c r="GL93" s="598"/>
      <c r="GM93" s="598"/>
      <c r="GN93" s="598"/>
      <c r="GO93" s="598"/>
      <c r="GP93" s="598"/>
      <c r="GQ93" s="598"/>
      <c r="GR93" s="598"/>
      <c r="GS93" s="598"/>
      <c r="GT93" s="598"/>
      <c r="GU93" s="598"/>
      <c r="GV93" s="598"/>
      <c r="GW93" s="598"/>
      <c r="GX93" s="598"/>
      <c r="GY93" s="598"/>
      <c r="GZ93" s="598"/>
      <c r="HA93" s="598"/>
      <c r="HB93" s="598"/>
      <c r="HC93" s="598"/>
      <c r="HD93" s="598"/>
      <c r="HE93" s="598"/>
      <c r="HF93" s="598"/>
      <c r="HG93" s="598"/>
      <c r="HH93" s="598"/>
      <c r="HI93" s="598"/>
      <c r="HJ93" s="598"/>
      <c r="HK93" s="598"/>
      <c r="HL93" s="598"/>
      <c r="HM93" s="598"/>
      <c r="HN93" s="598"/>
      <c r="HO93" s="598"/>
      <c r="HP93" s="598"/>
      <c r="HQ93" s="598"/>
      <c r="HR93" s="598"/>
      <c r="HS93" s="598"/>
      <c r="HT93" s="598"/>
      <c r="HU93" s="598"/>
      <c r="HV93" s="598"/>
      <c r="HW93" s="598"/>
      <c r="HX93" s="598"/>
      <c r="HY93" s="598"/>
      <c r="HZ93" s="598"/>
      <c r="IA93" s="598"/>
      <c r="IB93" s="598"/>
      <c r="IC93" s="598"/>
      <c r="ID93" s="598"/>
      <c r="IE93" s="598"/>
      <c r="IF93" s="598"/>
      <c r="IG93" s="598"/>
      <c r="IH93" s="598"/>
      <c r="II93" s="598"/>
      <c r="IJ93" s="598"/>
      <c r="IK93" s="598"/>
      <c r="IL93" s="598"/>
      <c r="IM93" s="598"/>
      <c r="IN93" s="598"/>
      <c r="IO93" s="598"/>
      <c r="IP93" s="598"/>
      <c r="IQ93" s="598"/>
      <c r="IR93" s="598"/>
      <c r="IS93" s="598"/>
      <c r="IT93" s="598"/>
      <c r="IU93" s="598"/>
      <c r="IV93" s="598"/>
    </row>
    <row r="94" spans="1:256" s="37" customFormat="1" ht="16.5" customHeight="1" thickBot="1">
      <c r="A94" s="26"/>
      <c r="B94" s="627"/>
      <c r="C94" s="36"/>
      <c r="D94" s="36"/>
      <c r="E94" s="1901" t="s">
        <v>1018</v>
      </c>
      <c r="F94" s="165" t="s">
        <v>1079</v>
      </c>
      <c r="G94" s="2426" t="s">
        <v>239</v>
      </c>
      <c r="H94" s="2453"/>
      <c r="I94" s="2453"/>
      <c r="J94" s="2453"/>
      <c r="K94" s="2453"/>
      <c r="L94" s="2454"/>
      <c r="M94" s="165" t="s">
        <v>1080</v>
      </c>
      <c r="N94" s="36"/>
      <c r="O94" s="142"/>
      <c r="P94" s="1861"/>
      <c r="Q94" s="142"/>
      <c r="R94" s="144"/>
      <c r="S94" s="144"/>
      <c r="T94" s="144"/>
      <c r="U94" s="1861"/>
      <c r="V94" s="144"/>
      <c r="W94" s="144"/>
      <c r="X94" s="144"/>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598"/>
      <c r="AY94" s="598"/>
      <c r="AZ94" s="598"/>
      <c r="BA94" s="598"/>
      <c r="BB94" s="598"/>
      <c r="BC94" s="598"/>
      <c r="BD94" s="598"/>
      <c r="BE94" s="598"/>
      <c r="BF94" s="598"/>
      <c r="BG94" s="598"/>
      <c r="BH94" s="598"/>
      <c r="BI94" s="598"/>
      <c r="BJ94" s="598"/>
      <c r="BK94" s="598"/>
      <c r="BL94" s="598"/>
      <c r="BM94" s="598"/>
      <c r="BN94" s="598"/>
      <c r="BO94" s="598"/>
      <c r="BP94" s="598"/>
      <c r="BQ94" s="598"/>
      <c r="BR94" s="598"/>
      <c r="BS94" s="598"/>
      <c r="BT94" s="598"/>
      <c r="BU94" s="598"/>
      <c r="BV94" s="598"/>
      <c r="BW94" s="598"/>
      <c r="BX94" s="598"/>
      <c r="BY94" s="598"/>
      <c r="BZ94" s="598"/>
      <c r="CA94" s="598"/>
      <c r="CB94" s="598"/>
      <c r="CC94" s="598"/>
      <c r="CD94" s="598"/>
      <c r="CE94" s="598"/>
      <c r="CF94" s="598"/>
      <c r="CG94" s="598"/>
      <c r="CH94" s="598"/>
      <c r="CI94" s="598"/>
      <c r="CJ94" s="598"/>
      <c r="CK94" s="598"/>
      <c r="CL94" s="598"/>
      <c r="CM94" s="598"/>
      <c r="CN94" s="598"/>
      <c r="CO94" s="598"/>
      <c r="CP94" s="598"/>
      <c r="CQ94" s="598"/>
      <c r="CR94" s="598"/>
      <c r="CS94" s="598"/>
      <c r="CT94" s="598"/>
      <c r="CU94" s="598"/>
      <c r="CV94" s="598"/>
      <c r="CW94" s="598"/>
      <c r="CX94" s="598"/>
      <c r="CY94" s="598"/>
      <c r="CZ94" s="598"/>
      <c r="DA94" s="598"/>
      <c r="DB94" s="598"/>
      <c r="DC94" s="598"/>
      <c r="DD94" s="598"/>
      <c r="DE94" s="598"/>
      <c r="DF94" s="598"/>
      <c r="DG94" s="598"/>
      <c r="DH94" s="598"/>
      <c r="DI94" s="598"/>
      <c r="DJ94" s="598"/>
      <c r="DK94" s="598"/>
      <c r="DL94" s="598"/>
      <c r="DM94" s="598"/>
      <c r="DN94" s="598"/>
      <c r="DO94" s="598"/>
      <c r="DP94" s="598"/>
      <c r="DQ94" s="598"/>
      <c r="DR94" s="598"/>
      <c r="DS94" s="598"/>
      <c r="DT94" s="598"/>
      <c r="DU94" s="598"/>
      <c r="DV94" s="598"/>
      <c r="DW94" s="598"/>
      <c r="DX94" s="598"/>
      <c r="DY94" s="598"/>
      <c r="DZ94" s="598"/>
      <c r="EA94" s="598"/>
      <c r="EB94" s="598"/>
      <c r="EC94" s="598"/>
      <c r="ED94" s="598"/>
      <c r="EE94" s="598"/>
      <c r="EF94" s="598"/>
      <c r="EG94" s="598"/>
      <c r="EH94" s="598"/>
      <c r="EI94" s="598"/>
      <c r="EJ94" s="598"/>
      <c r="EK94" s="598"/>
      <c r="EL94" s="598"/>
      <c r="EM94" s="598"/>
      <c r="EN94" s="598"/>
      <c r="EO94" s="598"/>
      <c r="EP94" s="598"/>
      <c r="EQ94" s="598"/>
      <c r="ER94" s="598"/>
      <c r="ES94" s="598"/>
      <c r="ET94" s="598"/>
      <c r="EU94" s="598"/>
      <c r="EV94" s="598"/>
      <c r="EW94" s="598"/>
      <c r="EX94" s="598"/>
      <c r="EY94" s="598"/>
      <c r="EZ94" s="598"/>
      <c r="FA94" s="598"/>
      <c r="FB94" s="598"/>
      <c r="FC94" s="598"/>
      <c r="FD94" s="598"/>
      <c r="FE94" s="598"/>
      <c r="FF94" s="598"/>
      <c r="FG94" s="598"/>
      <c r="FH94" s="598"/>
      <c r="FI94" s="598"/>
      <c r="FJ94" s="598"/>
      <c r="FK94" s="598"/>
      <c r="FL94" s="598"/>
      <c r="FM94" s="598"/>
      <c r="FN94" s="598"/>
      <c r="FO94" s="598"/>
      <c r="FP94" s="598"/>
      <c r="FQ94" s="598"/>
      <c r="FR94" s="598"/>
      <c r="FS94" s="598"/>
      <c r="FT94" s="598"/>
      <c r="FU94" s="598"/>
      <c r="FV94" s="598"/>
      <c r="FW94" s="598"/>
      <c r="FX94" s="598"/>
      <c r="FY94" s="598"/>
      <c r="FZ94" s="598"/>
      <c r="GA94" s="598"/>
      <c r="GB94" s="598"/>
      <c r="GC94" s="598"/>
      <c r="GD94" s="598"/>
      <c r="GE94" s="598"/>
      <c r="GF94" s="598"/>
      <c r="GG94" s="598"/>
      <c r="GH94" s="598"/>
      <c r="GI94" s="598"/>
      <c r="GJ94" s="598"/>
      <c r="GK94" s="598"/>
      <c r="GL94" s="598"/>
      <c r="GM94" s="598"/>
      <c r="GN94" s="598"/>
      <c r="GO94" s="598"/>
      <c r="GP94" s="598"/>
      <c r="GQ94" s="598"/>
      <c r="GR94" s="598"/>
      <c r="GS94" s="598"/>
      <c r="GT94" s="598"/>
      <c r="GU94" s="598"/>
      <c r="GV94" s="598"/>
      <c r="GW94" s="598"/>
      <c r="GX94" s="598"/>
      <c r="GY94" s="598"/>
      <c r="GZ94" s="598"/>
      <c r="HA94" s="598"/>
      <c r="HB94" s="598"/>
      <c r="HC94" s="598"/>
      <c r="HD94" s="598"/>
      <c r="HE94" s="598"/>
      <c r="HF94" s="598"/>
      <c r="HG94" s="598"/>
      <c r="HH94" s="598"/>
      <c r="HI94" s="598"/>
      <c r="HJ94" s="598"/>
      <c r="HK94" s="598"/>
      <c r="HL94" s="598"/>
      <c r="HM94" s="598"/>
      <c r="HN94" s="598"/>
      <c r="HO94" s="598"/>
      <c r="HP94" s="598"/>
      <c r="HQ94" s="598"/>
      <c r="HR94" s="598"/>
      <c r="HS94" s="598"/>
      <c r="HT94" s="598"/>
      <c r="HU94" s="598"/>
      <c r="HV94" s="598"/>
      <c r="HW94" s="598"/>
      <c r="HX94" s="598"/>
      <c r="HY94" s="598"/>
      <c r="HZ94" s="598"/>
      <c r="IA94" s="598"/>
      <c r="IB94" s="598"/>
      <c r="IC94" s="598"/>
      <c r="ID94" s="598"/>
      <c r="IE94" s="598"/>
      <c r="IF94" s="598"/>
      <c r="IG94" s="598"/>
      <c r="IH94" s="598"/>
      <c r="II94" s="598"/>
      <c r="IJ94" s="598"/>
      <c r="IK94" s="598"/>
      <c r="IL94" s="598"/>
      <c r="IM94" s="598"/>
      <c r="IN94" s="598"/>
      <c r="IO94" s="598"/>
      <c r="IP94" s="598"/>
      <c r="IQ94" s="598"/>
      <c r="IR94" s="598"/>
      <c r="IS94" s="598"/>
      <c r="IT94" s="598"/>
      <c r="IU94" s="598"/>
      <c r="IV94" s="598"/>
    </row>
    <row r="95" spans="1:256" s="37" customFormat="1" ht="16.5" customHeight="1">
      <c r="A95" s="26"/>
      <c r="B95" s="164"/>
      <c r="C95" s="34"/>
      <c r="D95" s="38"/>
      <c r="E95" s="1902" t="s">
        <v>1002</v>
      </c>
      <c r="F95" s="1903" t="s">
        <v>1012</v>
      </c>
      <c r="G95" s="536" t="s">
        <v>1081</v>
      </c>
      <c r="H95" s="1904"/>
      <c r="I95" s="1904"/>
      <c r="J95" s="1904"/>
      <c r="K95" s="1904"/>
      <c r="L95" s="1904"/>
      <c r="M95" s="1790">
        <v>1</v>
      </c>
      <c r="N95" s="51"/>
      <c r="P95" s="1861"/>
      <c r="T95" s="598"/>
      <c r="U95" s="1861"/>
    </row>
    <row r="96" spans="1:256" s="37" customFormat="1" ht="16.5" customHeight="1" thickBot="1">
      <c r="A96" s="26"/>
      <c r="B96" s="164"/>
      <c r="C96" s="34"/>
      <c r="D96" s="38"/>
      <c r="E96" s="1905" t="s">
        <v>1002</v>
      </c>
      <c r="F96" s="1906" t="s">
        <v>1014</v>
      </c>
      <c r="G96" s="561" t="s">
        <v>1082</v>
      </c>
      <c r="H96" s="1907"/>
      <c r="I96" s="1907"/>
      <c r="J96" s="1907"/>
      <c r="K96" s="1907"/>
      <c r="L96" s="1907"/>
      <c r="M96" s="576">
        <v>2</v>
      </c>
      <c r="N96" s="51"/>
      <c r="P96" s="1861"/>
      <c r="T96" s="598"/>
      <c r="U96" s="1861"/>
    </row>
    <row r="97" spans="1:256" s="37" customFormat="1" ht="16.5" customHeight="1">
      <c r="A97" s="26"/>
      <c r="B97" s="164"/>
      <c r="C97" s="34"/>
      <c r="D97" s="38"/>
      <c r="E97" s="1908"/>
      <c r="F97" s="528"/>
      <c r="G97" s="528"/>
      <c r="H97" s="528"/>
      <c r="I97" s="528"/>
      <c r="J97" s="528"/>
      <c r="K97" s="528" t="s">
        <v>377</v>
      </c>
      <c r="L97" s="1057">
        <f>IF(E95="○",1)+IF(E96="○",2)</f>
        <v>0</v>
      </c>
      <c r="M97" s="527" t="s">
        <v>1016</v>
      </c>
      <c r="N97" s="51"/>
      <c r="P97" s="1861"/>
      <c r="T97" s="598"/>
      <c r="U97" s="1861"/>
    </row>
    <row r="98" spans="1:256" s="144" customFormat="1" ht="8.25" customHeight="1">
      <c r="A98" s="51"/>
      <c r="B98" s="164"/>
      <c r="C98" s="607"/>
      <c r="D98" s="1896"/>
      <c r="E98" s="1896"/>
      <c r="F98" s="26"/>
      <c r="G98" s="26"/>
      <c r="H98" s="26"/>
      <c r="I98" s="26"/>
      <c r="J98" s="26"/>
      <c r="K98" s="26"/>
      <c r="L98" s="26"/>
      <c r="M98" s="26"/>
      <c r="N98" s="150"/>
      <c r="P98" s="1897" t="s">
        <v>1063</v>
      </c>
      <c r="Q98" s="1862" t="s">
        <v>82</v>
      </c>
      <c r="R98" s="37"/>
      <c r="S98" s="37"/>
    </row>
    <row r="99" spans="1:256" s="144" customFormat="1" ht="21.75" customHeight="1">
      <c r="A99" s="51"/>
      <c r="B99" s="164"/>
      <c r="C99" s="607"/>
      <c r="E99" s="781" t="s">
        <v>3</v>
      </c>
      <c r="F99" s="782"/>
      <c r="G99" s="1201"/>
      <c r="H99" s="1201"/>
      <c r="I99" s="2388"/>
      <c r="J99" s="2389"/>
      <c r="K99" s="2389"/>
      <c r="L99" s="2389"/>
      <c r="M99" s="2390"/>
      <c r="N99" s="150"/>
      <c r="P99" s="615"/>
      <c r="Q99" s="324"/>
      <c r="R99" s="4"/>
      <c r="S99" s="4"/>
      <c r="T99" s="132"/>
      <c r="U99" s="615"/>
      <c r="V99" s="132"/>
      <c r="W99" s="132"/>
      <c r="X99" s="132"/>
      <c r="Y99" s="132"/>
    </row>
    <row r="100" spans="1:256" s="144" customFormat="1" ht="16.5" customHeight="1" thickBot="1">
      <c r="A100" s="51"/>
      <c r="B100" s="164"/>
      <c r="C100" s="607"/>
      <c r="E100" s="152" t="s">
        <v>1083</v>
      </c>
      <c r="F100" s="417"/>
      <c r="G100" s="417"/>
      <c r="H100" s="417"/>
      <c r="I100" s="1786"/>
      <c r="J100" s="1860"/>
      <c r="K100" s="1860"/>
      <c r="L100" s="1860"/>
      <c r="M100" s="1860"/>
      <c r="N100" s="150"/>
      <c r="P100" s="1861"/>
      <c r="Q100" s="1862"/>
      <c r="R100" s="37"/>
      <c r="S100" s="37"/>
      <c r="U100" s="1861"/>
    </row>
    <row r="101" spans="1:256" s="144" customFormat="1" ht="21" customHeight="1" thickBot="1">
      <c r="A101" s="51"/>
      <c r="B101" s="164"/>
      <c r="C101" s="607"/>
      <c r="E101" s="1863" t="s">
        <v>1002</v>
      </c>
      <c r="F101" s="2520" t="s">
        <v>1084</v>
      </c>
      <c r="G101" s="2521"/>
      <c r="H101" s="2521"/>
      <c r="I101" s="2521"/>
      <c r="J101" s="2521"/>
      <c r="K101" s="2521"/>
      <c r="L101" s="2521"/>
      <c r="M101" s="2468"/>
      <c r="N101" s="150"/>
      <c r="P101" s="1861"/>
      <c r="Q101" s="1862"/>
      <c r="R101" s="37"/>
      <c r="S101" s="37"/>
      <c r="U101" s="1861"/>
    </row>
    <row r="102" spans="1:256" s="144" customFormat="1" ht="16.5" customHeight="1" thickBot="1">
      <c r="A102" s="51"/>
      <c r="B102" s="164"/>
      <c r="C102" s="607"/>
      <c r="E102" s="152" t="s">
        <v>1077</v>
      </c>
      <c r="F102" s="417"/>
      <c r="G102" s="417"/>
      <c r="H102" s="417"/>
      <c r="I102" s="1786"/>
      <c r="J102" s="1860"/>
      <c r="K102" s="1860"/>
      <c r="L102" s="1860"/>
      <c r="M102" s="1860"/>
      <c r="N102" s="150"/>
      <c r="P102" s="1861"/>
      <c r="Q102" s="1862"/>
      <c r="R102" s="37"/>
      <c r="S102" s="37"/>
      <c r="U102" s="1861"/>
    </row>
    <row r="103" spans="1:256" s="144" customFormat="1" ht="21" customHeight="1" thickBot="1">
      <c r="A103" s="51"/>
      <c r="B103" s="164"/>
      <c r="C103" s="607"/>
      <c r="E103" s="1863" t="s">
        <v>1002</v>
      </c>
      <c r="F103" s="2520" t="s">
        <v>1085</v>
      </c>
      <c r="G103" s="2521"/>
      <c r="H103" s="2521"/>
      <c r="I103" s="2521"/>
      <c r="J103" s="2521"/>
      <c r="K103" s="2521"/>
      <c r="L103" s="2521"/>
      <c r="M103" s="2468"/>
      <c r="N103" s="150"/>
      <c r="P103" s="1861"/>
      <c r="Q103" s="1862"/>
      <c r="R103" s="37"/>
      <c r="S103" s="37"/>
      <c r="U103" s="1861"/>
    </row>
    <row r="104" spans="1:256" ht="14.25" customHeight="1">
      <c r="A104" s="1"/>
      <c r="B104" s="627"/>
      <c r="C104" s="36"/>
      <c r="D104" s="36"/>
      <c r="E104" s="36"/>
      <c r="F104" s="36"/>
      <c r="G104" s="36"/>
      <c r="H104" s="36"/>
      <c r="I104" s="36"/>
      <c r="J104" s="36"/>
      <c r="K104" s="36"/>
      <c r="L104" s="36"/>
      <c r="M104" s="36"/>
      <c r="N104" s="36"/>
      <c r="O104" s="142"/>
      <c r="P104" s="615"/>
      <c r="Q104" s="142"/>
      <c r="R104" s="300"/>
      <c r="S104" s="144"/>
      <c r="T104" s="144"/>
      <c r="U104" s="615"/>
      <c r="V104" s="300"/>
      <c r="W104" s="300"/>
      <c r="X104" s="144"/>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598"/>
      <c r="AW104" s="598"/>
      <c r="AX104" s="598"/>
      <c r="AY104" s="598"/>
      <c r="AZ104" s="598"/>
      <c r="BA104" s="598"/>
      <c r="BB104" s="598"/>
      <c r="BC104" s="598"/>
      <c r="BD104" s="598"/>
      <c r="BE104" s="598"/>
      <c r="BF104" s="598"/>
      <c r="BG104" s="598"/>
      <c r="BH104" s="598"/>
      <c r="BI104" s="598"/>
      <c r="BJ104" s="598"/>
      <c r="BK104" s="598"/>
      <c r="BL104" s="598"/>
      <c r="BM104" s="598"/>
      <c r="BN104" s="598"/>
      <c r="BO104" s="598"/>
      <c r="BP104" s="598"/>
      <c r="BQ104" s="598"/>
      <c r="BR104" s="598"/>
      <c r="BS104" s="598"/>
      <c r="BT104" s="598"/>
      <c r="BU104" s="598"/>
      <c r="BV104" s="598"/>
      <c r="BW104" s="598"/>
      <c r="BX104" s="598"/>
      <c r="BY104" s="598"/>
      <c r="BZ104" s="598"/>
      <c r="CA104" s="598"/>
      <c r="CB104" s="598"/>
      <c r="CC104" s="598"/>
      <c r="CD104" s="598"/>
      <c r="CE104" s="598"/>
      <c r="CF104" s="598"/>
      <c r="CG104" s="598"/>
      <c r="CH104" s="598"/>
      <c r="CI104" s="598"/>
      <c r="CJ104" s="598"/>
      <c r="CK104" s="598"/>
      <c r="CL104" s="598"/>
      <c r="CM104" s="598"/>
      <c r="CN104" s="598"/>
      <c r="CO104" s="598"/>
      <c r="CP104" s="598"/>
      <c r="CQ104" s="598"/>
      <c r="CR104" s="598"/>
      <c r="CS104" s="598"/>
      <c r="CT104" s="598"/>
      <c r="CU104" s="598"/>
      <c r="CV104" s="598"/>
      <c r="CW104" s="598"/>
      <c r="CX104" s="598"/>
      <c r="CY104" s="598"/>
      <c r="CZ104" s="598"/>
      <c r="DA104" s="598"/>
      <c r="DB104" s="598"/>
      <c r="DC104" s="598"/>
      <c r="DD104" s="598"/>
      <c r="DE104" s="598"/>
      <c r="DF104" s="598"/>
      <c r="DG104" s="598"/>
      <c r="DH104" s="598"/>
      <c r="DI104" s="598"/>
      <c r="DJ104" s="598"/>
      <c r="DK104" s="598"/>
      <c r="DL104" s="598"/>
      <c r="DM104" s="598"/>
      <c r="DN104" s="598"/>
      <c r="DO104" s="598"/>
      <c r="DP104" s="598"/>
      <c r="DQ104" s="598"/>
      <c r="DR104" s="598"/>
      <c r="DS104" s="598"/>
      <c r="DT104" s="598"/>
      <c r="DU104" s="598"/>
      <c r="DV104" s="598"/>
      <c r="DW104" s="598"/>
      <c r="DX104" s="598"/>
      <c r="DY104" s="598"/>
      <c r="DZ104" s="598"/>
      <c r="EA104" s="598"/>
      <c r="EB104" s="598"/>
      <c r="EC104" s="598"/>
      <c r="ED104" s="598"/>
      <c r="EE104" s="598"/>
      <c r="EF104" s="598"/>
      <c r="EG104" s="598"/>
      <c r="EH104" s="598"/>
      <c r="EI104" s="598"/>
      <c r="EJ104" s="598"/>
      <c r="EK104" s="598"/>
      <c r="EL104" s="598"/>
      <c r="EM104" s="598"/>
      <c r="EN104" s="598"/>
      <c r="EO104" s="598"/>
      <c r="EP104" s="598"/>
      <c r="EQ104" s="598"/>
      <c r="ER104" s="598"/>
      <c r="ES104" s="598"/>
      <c r="ET104" s="598"/>
      <c r="EU104" s="598"/>
      <c r="EV104" s="598"/>
      <c r="EW104" s="598"/>
      <c r="EX104" s="598"/>
      <c r="EY104" s="598"/>
      <c r="EZ104" s="598"/>
      <c r="FA104" s="598"/>
      <c r="FB104" s="598"/>
      <c r="FC104" s="598"/>
      <c r="FD104" s="598"/>
      <c r="FE104" s="598"/>
      <c r="FF104" s="598"/>
      <c r="FG104" s="598"/>
      <c r="FH104" s="598"/>
      <c r="FI104" s="598"/>
      <c r="FJ104" s="598"/>
      <c r="FK104" s="598"/>
      <c r="FL104" s="598"/>
      <c r="FM104" s="598"/>
      <c r="FN104" s="598"/>
      <c r="FO104" s="598"/>
      <c r="FP104" s="598"/>
      <c r="FQ104" s="598"/>
      <c r="FR104" s="598"/>
      <c r="FS104" s="598"/>
      <c r="FT104" s="598"/>
      <c r="FU104" s="598"/>
      <c r="FV104" s="598"/>
      <c r="FW104" s="598"/>
      <c r="FX104" s="598"/>
      <c r="FY104" s="598"/>
      <c r="FZ104" s="598"/>
      <c r="GA104" s="598"/>
      <c r="GB104" s="598"/>
      <c r="GC104" s="598"/>
      <c r="GD104" s="598"/>
      <c r="GE104" s="598"/>
      <c r="GF104" s="598"/>
      <c r="GG104" s="598"/>
      <c r="GH104" s="598"/>
      <c r="GI104" s="598"/>
      <c r="GJ104" s="598"/>
      <c r="GK104" s="598"/>
      <c r="GL104" s="598"/>
      <c r="GM104" s="598"/>
      <c r="GN104" s="598"/>
      <c r="GO104" s="598"/>
      <c r="GP104" s="598"/>
      <c r="GQ104" s="598"/>
      <c r="GR104" s="598"/>
      <c r="GS104" s="598"/>
      <c r="GT104" s="598"/>
      <c r="GU104" s="598"/>
      <c r="GV104" s="598"/>
      <c r="GW104" s="598"/>
      <c r="GX104" s="598"/>
      <c r="GY104" s="598"/>
      <c r="GZ104" s="598"/>
      <c r="HA104" s="598"/>
      <c r="HB104" s="598"/>
      <c r="HC104" s="598"/>
      <c r="HD104" s="598"/>
      <c r="HE104" s="598"/>
      <c r="HF104" s="598"/>
      <c r="HG104" s="598"/>
      <c r="HH104" s="598"/>
      <c r="HI104" s="598"/>
      <c r="HJ104" s="598"/>
      <c r="HK104" s="598"/>
      <c r="HL104" s="598"/>
      <c r="HM104" s="598"/>
      <c r="HN104" s="598"/>
      <c r="HO104" s="598"/>
      <c r="HP104" s="598"/>
      <c r="HQ104" s="598"/>
      <c r="HR104" s="598"/>
      <c r="HS104" s="598"/>
      <c r="HT104" s="598"/>
      <c r="HU104" s="598"/>
      <c r="HV104" s="598"/>
      <c r="HW104" s="598"/>
      <c r="HX104" s="598"/>
      <c r="HY104" s="598"/>
      <c r="HZ104" s="598"/>
      <c r="IA104" s="598"/>
      <c r="IB104" s="598"/>
      <c r="IC104" s="598"/>
      <c r="ID104" s="598"/>
      <c r="IE104" s="598"/>
      <c r="IF104" s="598"/>
      <c r="IG104" s="598"/>
      <c r="IH104" s="598"/>
      <c r="II104" s="598"/>
      <c r="IJ104" s="598"/>
      <c r="IK104" s="598"/>
      <c r="IL104" s="598"/>
      <c r="IM104" s="598"/>
      <c r="IN104" s="598"/>
      <c r="IO104" s="598"/>
      <c r="IP104" s="598"/>
      <c r="IQ104" s="598"/>
      <c r="IR104" s="598"/>
      <c r="IS104" s="598"/>
      <c r="IT104" s="598"/>
      <c r="IU104" s="598"/>
      <c r="IV104" s="598"/>
    </row>
    <row r="105" spans="1:256" s="327" customFormat="1" ht="14.25" customHeight="1">
      <c r="A105" s="22"/>
      <c r="B105" s="1061">
        <v>1.4</v>
      </c>
      <c r="C105" s="147" t="s">
        <v>514</v>
      </c>
      <c r="D105" s="147"/>
      <c r="E105" s="150"/>
      <c r="F105" s="310"/>
      <c r="G105" s="150"/>
      <c r="H105" s="150"/>
      <c r="I105" s="36"/>
      <c r="J105" s="36"/>
      <c r="K105" s="36"/>
      <c r="L105" s="36"/>
      <c r="M105" s="36"/>
      <c r="N105" s="22"/>
      <c r="O105" s="132"/>
      <c r="V105" s="132"/>
      <c r="W105" s="132"/>
      <c r="X105" s="132"/>
      <c r="Y105" s="132"/>
    </row>
    <row r="106" spans="1:256" s="327" customFormat="1" ht="14.25" customHeight="1" thickBot="1">
      <c r="A106" s="22"/>
      <c r="B106" s="563"/>
      <c r="C106" s="147"/>
      <c r="D106" s="147"/>
      <c r="E106" s="150"/>
      <c r="F106" s="310"/>
      <c r="G106" s="150"/>
      <c r="H106" s="150"/>
      <c r="I106" s="36"/>
      <c r="J106" s="36"/>
      <c r="K106" s="36"/>
      <c r="L106" s="36"/>
      <c r="M106" s="36"/>
      <c r="N106" s="22"/>
      <c r="O106" s="132"/>
      <c r="V106" s="132"/>
      <c r="W106" s="132"/>
      <c r="X106" s="132"/>
      <c r="Y106" s="132"/>
    </row>
    <row r="107" spans="1:256" ht="16.5" customHeight="1" thickBot="1">
      <c r="A107" s="1"/>
      <c r="B107" s="627"/>
      <c r="C107" s="36"/>
      <c r="D107" s="1051">
        <f>IF(D108+L128&lt;=5,D108+L128,5)</f>
        <v>3</v>
      </c>
      <c r="E107" s="147"/>
      <c r="F107" s="150"/>
      <c r="G107" s="134"/>
      <c r="H107" s="134"/>
      <c r="I107" s="36"/>
      <c r="J107" s="36"/>
      <c r="K107" s="36"/>
      <c r="L107" s="176" t="s">
        <v>2</v>
      </c>
      <c r="M107" s="173">
        <f>重み!M70</f>
        <v>0.2</v>
      </c>
      <c r="N107" s="1"/>
      <c r="O107" s="144">
        <f>C107</f>
        <v>0</v>
      </c>
      <c r="P107" s="144">
        <f>D107</f>
        <v>3</v>
      </c>
      <c r="Q107" s="144">
        <f>E107</f>
        <v>0</v>
      </c>
      <c r="R107" s="144">
        <f>F107</f>
        <v>0</v>
      </c>
      <c r="S107" s="144" t="str">
        <f>L107</f>
        <v>重み係数＝</v>
      </c>
      <c r="T107" s="144">
        <f>M107</f>
        <v>0.2</v>
      </c>
      <c r="U107" s="144">
        <f>I107</f>
        <v>0</v>
      </c>
      <c r="V107" s="144">
        <f>J107</f>
        <v>0</v>
      </c>
      <c r="W107" s="144">
        <f>K107</f>
        <v>0</v>
      </c>
      <c r="X107" s="144" t="e">
        <f>#REF!</f>
        <v>#REF!</v>
      </c>
      <c r="Y107" s="132"/>
    </row>
    <row r="108" spans="1:256" ht="16.5" customHeight="1" thickBot="1">
      <c r="A108" s="1"/>
      <c r="B108" s="627"/>
      <c r="C108" s="36"/>
      <c r="D108" s="1049">
        <f>IF(M123&lt;0.4,1,IF(M123&lt;0.6,3,IF(M123&lt;0.8,4,5)))</f>
        <v>3</v>
      </c>
      <c r="E108" s="2391" t="s">
        <v>391</v>
      </c>
      <c r="F108" s="2392"/>
      <c r="G108" s="2392"/>
      <c r="H108" s="2392"/>
      <c r="I108" s="2392"/>
      <c r="J108" s="2392"/>
      <c r="K108" s="2392"/>
      <c r="L108" s="2392"/>
      <c r="M108" s="2393"/>
      <c r="N108" s="1"/>
      <c r="O108" s="142"/>
      <c r="P108" s="144"/>
      <c r="Q108" s="142"/>
      <c r="R108" s="144"/>
      <c r="S108" s="144"/>
      <c r="T108" s="144"/>
      <c r="U108" s="144"/>
      <c r="V108" s="144"/>
      <c r="W108" s="144"/>
      <c r="X108" s="144"/>
    </row>
    <row r="109" spans="1:256" ht="16.5" customHeight="1">
      <c r="A109" s="1"/>
      <c r="B109" s="627"/>
      <c r="C109" s="36"/>
      <c r="D109" s="32" t="str">
        <f>IF(D108=$Q$18,$R$13,IF(ROUNDDOWN(D108,0)=$Q$13,$S$13,$R$13))</f>
        <v>　レベル　1</v>
      </c>
      <c r="E109" s="522" t="s">
        <v>319</v>
      </c>
      <c r="F109" s="580"/>
      <c r="G109" s="580"/>
      <c r="H109" s="580"/>
      <c r="I109" s="580"/>
      <c r="J109" s="580"/>
      <c r="K109" s="580"/>
      <c r="L109" s="580"/>
      <c r="M109" s="581"/>
      <c r="N109" s="1"/>
      <c r="O109" s="142"/>
      <c r="P109" s="584">
        <f>$Q$13</f>
        <v>1</v>
      </c>
      <c r="Q109" s="142"/>
      <c r="R109" s="300"/>
      <c r="S109" s="144"/>
      <c r="T109" s="144"/>
      <c r="U109" s="584">
        <f>$Q$13</f>
        <v>1</v>
      </c>
      <c r="V109" s="300"/>
      <c r="W109" s="300"/>
      <c r="X109" s="144"/>
    </row>
    <row r="110" spans="1:256" ht="16.5" customHeight="1">
      <c r="A110" s="1"/>
      <c r="B110" s="627"/>
      <c r="C110" s="36"/>
      <c r="D110" s="35" t="str">
        <f>IF(D108=$Q$18,$R$14,IF(ROUNDDOWN(D108,0)=$Q$14,$S$14,$R$14))</f>
        <v>　レベル　2</v>
      </c>
      <c r="E110" s="523" t="s">
        <v>650</v>
      </c>
      <c r="F110" s="582"/>
      <c r="G110" s="582"/>
      <c r="H110" s="582"/>
      <c r="I110" s="582"/>
      <c r="J110" s="582"/>
      <c r="K110" s="582"/>
      <c r="L110" s="582"/>
      <c r="M110" s="583"/>
      <c r="N110" s="1"/>
      <c r="O110" s="142"/>
      <c r="P110" s="584" t="s">
        <v>48</v>
      </c>
      <c r="Q110" s="142"/>
      <c r="R110" s="300"/>
      <c r="S110" s="144"/>
      <c r="T110" s="144"/>
      <c r="U110" s="584">
        <f>$Q$14</f>
        <v>2</v>
      </c>
      <c r="V110" s="300"/>
      <c r="W110" s="300"/>
      <c r="X110" s="144"/>
    </row>
    <row r="111" spans="1:256" ht="16.5" customHeight="1">
      <c r="A111" s="1"/>
      <c r="B111" s="627"/>
      <c r="C111" s="36"/>
      <c r="D111" s="35" t="str">
        <f>IF(D108=$Q$18,$R$15,IF(ROUNDDOWN(D108,0)=$Q$15,$S$15,$R$15))</f>
        <v>■レベル　3</v>
      </c>
      <c r="E111" s="523" t="s">
        <v>22</v>
      </c>
      <c r="F111" s="582"/>
      <c r="G111" s="582"/>
      <c r="H111" s="582"/>
      <c r="I111" s="582"/>
      <c r="J111" s="582"/>
      <c r="K111" s="582"/>
      <c r="L111" s="582"/>
      <c r="M111" s="583"/>
      <c r="N111" s="1"/>
      <c r="O111" s="142"/>
      <c r="P111" s="584">
        <f>$Q$15</f>
        <v>3</v>
      </c>
      <c r="Q111" s="142"/>
      <c r="R111" s="300"/>
      <c r="S111" s="144"/>
      <c r="T111" s="144"/>
      <c r="U111" s="584">
        <f>$Q$15</f>
        <v>3</v>
      </c>
      <c r="V111" s="300"/>
      <c r="W111" s="300"/>
      <c r="X111" s="144"/>
    </row>
    <row r="112" spans="1:256" ht="16.5" customHeight="1">
      <c r="A112" s="1"/>
      <c r="B112" s="627"/>
      <c r="C112" s="36"/>
      <c r="D112" s="35" t="str">
        <f>IF(D108=$Q$18,$R$16,IF(ROUNDDOWN(D108,0)=$Q$16,$S$16,$R$16))</f>
        <v>　レベル　4</v>
      </c>
      <c r="E112" s="535" t="s">
        <v>23</v>
      </c>
      <c r="F112" s="585"/>
      <c r="G112" s="585"/>
      <c r="H112" s="585"/>
      <c r="I112" s="585"/>
      <c r="J112" s="585"/>
      <c r="K112" s="585"/>
      <c r="L112" s="585"/>
      <c r="M112" s="586"/>
      <c r="N112" s="1"/>
      <c r="O112" s="142"/>
      <c r="P112" s="584">
        <f>$Q$16</f>
        <v>4</v>
      </c>
      <c r="Q112" s="142"/>
      <c r="R112" s="300"/>
      <c r="S112" s="144"/>
      <c r="T112" s="144"/>
      <c r="U112" s="584">
        <f>$Q$16</f>
        <v>4</v>
      </c>
      <c r="V112" s="300"/>
      <c r="W112" s="300"/>
      <c r="X112" s="144"/>
    </row>
    <row r="113" spans="1:256" ht="16.5" customHeight="1">
      <c r="A113" s="1"/>
      <c r="B113" s="627"/>
      <c r="C113" s="36"/>
      <c r="D113" s="33" t="str">
        <f>IF(D108=$Q$18,$R$17,IF(ROUNDDOWN(D108,0)=$Q$17,$S$17,$R$17))</f>
        <v>　レベル　5</v>
      </c>
      <c r="E113" s="561" t="s">
        <v>24</v>
      </c>
      <c r="F113" s="587"/>
      <c r="G113" s="587"/>
      <c r="H113" s="587"/>
      <c r="I113" s="587"/>
      <c r="J113" s="587"/>
      <c r="K113" s="587"/>
      <c r="L113" s="587"/>
      <c r="M113" s="588"/>
      <c r="N113" s="1"/>
      <c r="O113" s="142"/>
      <c r="P113" s="584">
        <f>$Q$17</f>
        <v>5</v>
      </c>
      <c r="Q113" s="142"/>
      <c r="R113" s="300"/>
      <c r="S113" s="144"/>
      <c r="T113" s="144"/>
      <c r="U113" s="584">
        <f>$Q$17</f>
        <v>5</v>
      </c>
      <c r="V113" s="300"/>
      <c r="W113" s="300"/>
      <c r="X113" s="144"/>
    </row>
    <row r="114" spans="1:256" ht="16.5" customHeight="1">
      <c r="A114" s="1"/>
      <c r="B114" s="627"/>
      <c r="C114" s="36"/>
      <c r="D114" s="36"/>
      <c r="E114" s="152" t="s">
        <v>399</v>
      </c>
      <c r="F114" s="28"/>
      <c r="G114" s="28"/>
      <c r="H114" s="28"/>
      <c r="I114" s="28"/>
      <c r="J114" s="28"/>
      <c r="K114" s="28"/>
      <c r="L114" s="150"/>
      <c r="M114" s="150"/>
      <c r="N114" s="36"/>
      <c r="O114" s="142"/>
      <c r="P114" s="584" t="s">
        <v>60</v>
      </c>
      <c r="Q114" s="142"/>
      <c r="R114" s="300"/>
      <c r="S114" s="144"/>
      <c r="T114" s="144"/>
      <c r="U114" s="584" t="str">
        <f>$Q$18</f>
        <v>対象外</v>
      </c>
      <c r="V114" s="300"/>
      <c r="W114" s="300"/>
      <c r="X114" s="144"/>
      <c r="Y114" s="598"/>
      <c r="Z114" s="598"/>
      <c r="AA114" s="598"/>
      <c r="AB114" s="598"/>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598"/>
      <c r="AY114" s="598"/>
      <c r="AZ114" s="598"/>
      <c r="BA114" s="598"/>
      <c r="BB114" s="598"/>
      <c r="BC114" s="598"/>
      <c r="BD114" s="598"/>
      <c r="BE114" s="598"/>
      <c r="BF114" s="598"/>
      <c r="BG114" s="598"/>
      <c r="BH114" s="598"/>
      <c r="BI114" s="598"/>
      <c r="BJ114" s="598"/>
      <c r="BK114" s="598"/>
      <c r="BL114" s="598"/>
      <c r="BM114" s="598"/>
      <c r="BN114" s="598"/>
      <c r="BO114" s="598"/>
      <c r="BP114" s="598"/>
      <c r="BQ114" s="598"/>
      <c r="BR114" s="598"/>
      <c r="BS114" s="598"/>
      <c r="BT114" s="598"/>
      <c r="BU114" s="598"/>
      <c r="BV114" s="598"/>
      <c r="BW114" s="598"/>
      <c r="BX114" s="598"/>
      <c r="BY114" s="598"/>
      <c r="BZ114" s="598"/>
      <c r="CA114" s="598"/>
      <c r="CB114" s="598"/>
      <c r="CC114" s="598"/>
      <c r="CD114" s="598"/>
      <c r="CE114" s="598"/>
      <c r="CF114" s="598"/>
      <c r="CG114" s="598"/>
      <c r="CH114" s="598"/>
      <c r="CI114" s="598"/>
      <c r="CJ114" s="598"/>
      <c r="CK114" s="598"/>
      <c r="CL114" s="598"/>
      <c r="CM114" s="598"/>
      <c r="CN114" s="598"/>
      <c r="CO114" s="598"/>
      <c r="CP114" s="598"/>
      <c r="CQ114" s="598"/>
      <c r="CR114" s="598"/>
      <c r="CS114" s="598"/>
      <c r="CT114" s="598"/>
      <c r="CU114" s="598"/>
      <c r="CV114" s="598"/>
      <c r="CW114" s="598"/>
      <c r="CX114" s="598"/>
      <c r="CY114" s="598"/>
      <c r="CZ114" s="598"/>
      <c r="DA114" s="598"/>
      <c r="DB114" s="598"/>
      <c r="DC114" s="598"/>
      <c r="DD114" s="598"/>
      <c r="DE114" s="598"/>
      <c r="DF114" s="598"/>
      <c r="DG114" s="598"/>
      <c r="DH114" s="598"/>
      <c r="DI114" s="598"/>
      <c r="DJ114" s="598"/>
      <c r="DK114" s="598"/>
      <c r="DL114" s="598"/>
      <c r="DM114" s="598"/>
      <c r="DN114" s="598"/>
      <c r="DO114" s="598"/>
      <c r="DP114" s="598"/>
      <c r="DQ114" s="598"/>
      <c r="DR114" s="598"/>
      <c r="DS114" s="598"/>
      <c r="DT114" s="598"/>
      <c r="DU114" s="598"/>
      <c r="DV114" s="598"/>
      <c r="DW114" s="598"/>
      <c r="DX114" s="598"/>
      <c r="DY114" s="598"/>
      <c r="DZ114" s="598"/>
      <c r="EA114" s="598"/>
      <c r="EB114" s="598"/>
      <c r="EC114" s="598"/>
      <c r="ED114" s="598"/>
      <c r="EE114" s="598"/>
      <c r="EF114" s="598"/>
      <c r="EG114" s="598"/>
      <c r="EH114" s="598"/>
      <c r="EI114" s="598"/>
      <c r="EJ114" s="598"/>
      <c r="EK114" s="598"/>
      <c r="EL114" s="598"/>
      <c r="EM114" s="598"/>
      <c r="EN114" s="598"/>
      <c r="EO114" s="598"/>
      <c r="EP114" s="598"/>
      <c r="EQ114" s="598"/>
      <c r="ER114" s="598"/>
      <c r="ES114" s="598"/>
      <c r="ET114" s="598"/>
      <c r="EU114" s="598"/>
      <c r="EV114" s="598"/>
      <c r="EW114" s="598"/>
      <c r="EX114" s="598"/>
      <c r="EY114" s="598"/>
      <c r="EZ114" s="598"/>
      <c r="FA114" s="598"/>
      <c r="FB114" s="598"/>
      <c r="FC114" s="598"/>
      <c r="FD114" s="598"/>
      <c r="FE114" s="598"/>
      <c r="FF114" s="598"/>
      <c r="FG114" s="598"/>
      <c r="FH114" s="598"/>
      <c r="FI114" s="598"/>
      <c r="FJ114" s="598"/>
      <c r="FK114" s="598"/>
      <c r="FL114" s="598"/>
      <c r="FM114" s="598"/>
      <c r="FN114" s="598"/>
      <c r="FO114" s="598"/>
      <c r="FP114" s="598"/>
      <c r="FQ114" s="598"/>
      <c r="FR114" s="598"/>
      <c r="FS114" s="598"/>
      <c r="FT114" s="598"/>
      <c r="FU114" s="598"/>
      <c r="FV114" s="598"/>
      <c r="FW114" s="598"/>
      <c r="FX114" s="598"/>
      <c r="FY114" s="598"/>
      <c r="FZ114" s="598"/>
      <c r="GA114" s="598"/>
      <c r="GB114" s="598"/>
      <c r="GC114" s="598"/>
      <c r="GD114" s="598"/>
      <c r="GE114" s="598"/>
      <c r="GF114" s="598"/>
      <c r="GG114" s="598"/>
      <c r="GH114" s="598"/>
      <c r="GI114" s="598"/>
      <c r="GJ114" s="598"/>
      <c r="GK114" s="598"/>
      <c r="GL114" s="598"/>
      <c r="GM114" s="598"/>
      <c r="GN114" s="598"/>
      <c r="GO114" s="598"/>
      <c r="GP114" s="598"/>
      <c r="GQ114" s="598"/>
      <c r="GR114" s="598"/>
      <c r="GS114" s="598"/>
      <c r="GT114" s="598"/>
      <c r="GU114" s="598"/>
      <c r="GV114" s="598"/>
      <c r="GW114" s="598"/>
      <c r="GX114" s="598"/>
      <c r="GY114" s="598"/>
      <c r="GZ114" s="598"/>
      <c r="HA114" s="598"/>
      <c r="HB114" s="598"/>
      <c r="HC114" s="598"/>
      <c r="HD114" s="598"/>
      <c r="HE114" s="598"/>
      <c r="HF114" s="598"/>
      <c r="HG114" s="598"/>
      <c r="HH114" s="598"/>
      <c r="HI114" s="598"/>
      <c r="HJ114" s="598"/>
      <c r="HK114" s="598"/>
      <c r="HL114" s="598"/>
      <c r="HM114" s="598"/>
      <c r="HN114" s="598"/>
      <c r="HO114" s="598"/>
      <c r="HP114" s="598"/>
      <c r="HQ114" s="598"/>
      <c r="HR114" s="598"/>
      <c r="HS114" s="598"/>
      <c r="HT114" s="598"/>
      <c r="HU114" s="598"/>
      <c r="HV114" s="598"/>
      <c r="HW114" s="598"/>
      <c r="HX114" s="598"/>
      <c r="HY114" s="598"/>
      <c r="HZ114" s="598"/>
      <c r="IA114" s="598"/>
      <c r="IB114" s="598"/>
      <c r="IC114" s="598"/>
      <c r="ID114" s="598"/>
      <c r="IE114" s="598"/>
      <c r="IF114" s="598"/>
      <c r="IG114" s="598"/>
      <c r="IH114" s="598"/>
      <c r="II114" s="598"/>
      <c r="IJ114" s="598"/>
      <c r="IK114" s="598"/>
      <c r="IL114" s="598"/>
      <c r="IM114" s="598"/>
      <c r="IN114" s="598"/>
      <c r="IO114" s="598"/>
      <c r="IP114" s="598"/>
      <c r="IQ114" s="598"/>
      <c r="IR114" s="598"/>
      <c r="IS114" s="598"/>
      <c r="IT114" s="598"/>
      <c r="IU114" s="598"/>
      <c r="IV114" s="598"/>
    </row>
    <row r="115" spans="1:256" ht="16.5" customHeight="1">
      <c r="A115" s="1"/>
      <c r="B115" s="627"/>
      <c r="C115" s="36"/>
      <c r="D115" s="36"/>
      <c r="E115" s="140" t="s">
        <v>331</v>
      </c>
      <c r="F115" s="574" t="s">
        <v>70</v>
      </c>
      <c r="G115" s="545" t="s">
        <v>74</v>
      </c>
      <c r="H115" s="546"/>
      <c r="I115" s="546"/>
      <c r="J115" s="547"/>
      <c r="K115" s="507"/>
      <c r="L115" s="370" t="s">
        <v>828</v>
      </c>
      <c r="M115" s="508"/>
      <c r="N115" s="36"/>
      <c r="O115" s="142"/>
      <c r="P115" s="615"/>
      <c r="Q115" s="142"/>
      <c r="R115" s="300"/>
      <c r="S115" s="144"/>
      <c r="T115" s="144"/>
      <c r="U115" s="615"/>
      <c r="V115" s="300"/>
      <c r="W115" s="300"/>
      <c r="X115" s="144"/>
      <c r="Y115" s="598"/>
      <c r="Z115" s="598"/>
      <c r="AA115" s="598"/>
      <c r="AB115" s="598"/>
      <c r="AC115" s="598"/>
      <c r="AD115" s="598"/>
      <c r="AE115" s="598"/>
      <c r="AF115" s="598"/>
      <c r="AG115" s="598"/>
      <c r="AH115" s="598"/>
      <c r="AI115" s="598"/>
      <c r="AJ115" s="598"/>
      <c r="AK115" s="598"/>
      <c r="AL115" s="598"/>
      <c r="AM115" s="598"/>
      <c r="AN115" s="598"/>
      <c r="AO115" s="598"/>
      <c r="AP115" s="598"/>
      <c r="AQ115" s="598"/>
      <c r="AR115" s="598"/>
      <c r="AS115" s="598"/>
      <c r="AT115" s="598"/>
      <c r="AU115" s="598"/>
      <c r="AV115" s="598"/>
      <c r="AW115" s="598"/>
      <c r="AX115" s="598"/>
      <c r="AY115" s="598"/>
      <c r="AZ115" s="598"/>
      <c r="BA115" s="598"/>
      <c r="BB115" s="598"/>
      <c r="BC115" s="598"/>
      <c r="BD115" s="598"/>
      <c r="BE115" s="598"/>
      <c r="BF115" s="598"/>
      <c r="BG115" s="598"/>
      <c r="BH115" s="598"/>
      <c r="BI115" s="598"/>
      <c r="BJ115" s="598"/>
      <c r="BK115" s="598"/>
      <c r="BL115" s="598"/>
      <c r="BM115" s="598"/>
      <c r="BN115" s="598"/>
      <c r="BO115" s="598"/>
      <c r="BP115" s="598"/>
      <c r="BQ115" s="598"/>
      <c r="BR115" s="598"/>
      <c r="BS115" s="598"/>
      <c r="BT115" s="598"/>
      <c r="BU115" s="598"/>
      <c r="BV115" s="598"/>
      <c r="BW115" s="598"/>
      <c r="BX115" s="598"/>
      <c r="BY115" s="598"/>
      <c r="BZ115" s="598"/>
      <c r="CA115" s="598"/>
      <c r="CB115" s="598"/>
      <c r="CC115" s="598"/>
      <c r="CD115" s="598"/>
      <c r="CE115" s="598"/>
      <c r="CF115" s="598"/>
      <c r="CG115" s="598"/>
      <c r="CH115" s="598"/>
      <c r="CI115" s="598"/>
      <c r="CJ115" s="598"/>
      <c r="CK115" s="598"/>
      <c r="CL115" s="598"/>
      <c r="CM115" s="598"/>
      <c r="CN115" s="598"/>
      <c r="CO115" s="598"/>
      <c r="CP115" s="598"/>
      <c r="CQ115" s="598"/>
      <c r="CR115" s="598"/>
      <c r="CS115" s="598"/>
      <c r="CT115" s="598"/>
      <c r="CU115" s="598"/>
      <c r="CV115" s="598"/>
      <c r="CW115" s="598"/>
      <c r="CX115" s="598"/>
      <c r="CY115" s="598"/>
      <c r="CZ115" s="598"/>
      <c r="DA115" s="598"/>
      <c r="DB115" s="598"/>
      <c r="DC115" s="598"/>
      <c r="DD115" s="598"/>
      <c r="DE115" s="598"/>
      <c r="DF115" s="598"/>
      <c r="DG115" s="598"/>
      <c r="DH115" s="598"/>
      <c r="DI115" s="598"/>
      <c r="DJ115" s="598"/>
      <c r="DK115" s="598"/>
      <c r="DL115" s="598"/>
      <c r="DM115" s="598"/>
      <c r="DN115" s="598"/>
      <c r="DO115" s="598"/>
      <c r="DP115" s="598"/>
      <c r="DQ115" s="598"/>
      <c r="DR115" s="598"/>
      <c r="DS115" s="598"/>
      <c r="DT115" s="598"/>
      <c r="DU115" s="598"/>
      <c r="DV115" s="598"/>
      <c r="DW115" s="598"/>
      <c r="DX115" s="598"/>
      <c r="DY115" s="598"/>
      <c r="DZ115" s="598"/>
      <c r="EA115" s="598"/>
      <c r="EB115" s="598"/>
      <c r="EC115" s="598"/>
      <c r="ED115" s="598"/>
      <c r="EE115" s="598"/>
      <c r="EF115" s="598"/>
      <c r="EG115" s="598"/>
      <c r="EH115" s="598"/>
      <c r="EI115" s="598"/>
      <c r="EJ115" s="598"/>
      <c r="EK115" s="598"/>
      <c r="EL115" s="598"/>
      <c r="EM115" s="598"/>
      <c r="EN115" s="598"/>
      <c r="EO115" s="598"/>
      <c r="EP115" s="598"/>
      <c r="EQ115" s="598"/>
      <c r="ER115" s="598"/>
      <c r="ES115" s="598"/>
      <c r="ET115" s="598"/>
      <c r="EU115" s="598"/>
      <c r="EV115" s="598"/>
      <c r="EW115" s="598"/>
      <c r="EX115" s="598"/>
      <c r="EY115" s="598"/>
      <c r="EZ115" s="598"/>
      <c r="FA115" s="598"/>
      <c r="FB115" s="598"/>
      <c r="FC115" s="598"/>
      <c r="FD115" s="598"/>
      <c r="FE115" s="598"/>
      <c r="FF115" s="598"/>
      <c r="FG115" s="598"/>
      <c r="FH115" s="598"/>
      <c r="FI115" s="598"/>
      <c r="FJ115" s="598"/>
      <c r="FK115" s="598"/>
      <c r="FL115" s="598"/>
      <c r="FM115" s="598"/>
      <c r="FN115" s="598"/>
      <c r="FO115" s="598"/>
      <c r="FP115" s="598"/>
      <c r="FQ115" s="598"/>
      <c r="FR115" s="598"/>
      <c r="FS115" s="598"/>
      <c r="FT115" s="598"/>
      <c r="FU115" s="598"/>
      <c r="FV115" s="598"/>
      <c r="FW115" s="598"/>
      <c r="FX115" s="598"/>
      <c r="FY115" s="598"/>
      <c r="FZ115" s="598"/>
      <c r="GA115" s="598"/>
      <c r="GB115" s="598"/>
      <c r="GC115" s="598"/>
      <c r="GD115" s="598"/>
      <c r="GE115" s="598"/>
      <c r="GF115" s="598"/>
      <c r="GG115" s="598"/>
      <c r="GH115" s="598"/>
      <c r="GI115" s="598"/>
      <c r="GJ115" s="598"/>
      <c r="GK115" s="598"/>
      <c r="GL115" s="598"/>
      <c r="GM115" s="598"/>
      <c r="GN115" s="598"/>
      <c r="GO115" s="598"/>
      <c r="GP115" s="598"/>
      <c r="GQ115" s="598"/>
      <c r="GR115" s="598"/>
      <c r="GS115" s="598"/>
      <c r="GT115" s="598"/>
      <c r="GU115" s="598"/>
      <c r="GV115" s="598"/>
      <c r="GW115" s="598"/>
      <c r="GX115" s="598"/>
      <c r="GY115" s="598"/>
      <c r="GZ115" s="598"/>
      <c r="HA115" s="598"/>
      <c r="HB115" s="598"/>
      <c r="HC115" s="598"/>
      <c r="HD115" s="598"/>
      <c r="HE115" s="598"/>
      <c r="HF115" s="598"/>
      <c r="HG115" s="598"/>
      <c r="HH115" s="598"/>
      <c r="HI115" s="598"/>
      <c r="HJ115" s="598"/>
      <c r="HK115" s="598"/>
      <c r="HL115" s="598"/>
      <c r="HM115" s="598"/>
      <c r="HN115" s="598"/>
      <c r="HO115" s="598"/>
      <c r="HP115" s="598"/>
      <c r="HQ115" s="598"/>
      <c r="HR115" s="598"/>
      <c r="HS115" s="598"/>
      <c r="HT115" s="598"/>
      <c r="HU115" s="598"/>
      <c r="HV115" s="598"/>
      <c r="HW115" s="598"/>
      <c r="HX115" s="598"/>
      <c r="HY115" s="598"/>
      <c r="HZ115" s="598"/>
      <c r="IA115" s="598"/>
      <c r="IB115" s="598"/>
      <c r="IC115" s="598"/>
      <c r="ID115" s="598"/>
      <c r="IE115" s="598"/>
      <c r="IF115" s="598"/>
      <c r="IG115" s="598"/>
      <c r="IH115" s="598"/>
      <c r="II115" s="598"/>
      <c r="IJ115" s="598"/>
      <c r="IK115" s="598"/>
      <c r="IL115" s="598"/>
      <c r="IM115" s="598"/>
      <c r="IN115" s="598"/>
      <c r="IO115" s="598"/>
      <c r="IP115" s="598"/>
      <c r="IQ115" s="598"/>
      <c r="IR115" s="598"/>
      <c r="IS115" s="598"/>
      <c r="IT115" s="598"/>
      <c r="IU115" s="598"/>
      <c r="IV115" s="598"/>
    </row>
    <row r="116" spans="1:256" ht="16.5" customHeight="1" thickBot="1">
      <c r="A116" s="1"/>
      <c r="B116" s="627"/>
      <c r="C116" s="36"/>
      <c r="D116" s="36"/>
      <c r="E116" s="636"/>
      <c r="F116" s="629"/>
      <c r="G116" s="630"/>
      <c r="H116" s="631"/>
      <c r="I116" s="631"/>
      <c r="J116" s="632"/>
      <c r="K116" s="596" t="s">
        <v>813</v>
      </c>
      <c r="L116" s="596" t="s">
        <v>814</v>
      </c>
      <c r="M116" s="629" t="s">
        <v>815</v>
      </c>
      <c r="N116" s="36"/>
      <c r="O116" s="142"/>
      <c r="P116" s="615"/>
      <c r="Q116" s="142"/>
      <c r="R116" s="300"/>
      <c r="S116" s="144"/>
      <c r="T116" s="144"/>
      <c r="U116" s="615"/>
      <c r="V116" s="300"/>
      <c r="W116" s="300"/>
      <c r="X116" s="144"/>
      <c r="Y116" s="598"/>
      <c r="Z116" s="598"/>
      <c r="AA116" s="598"/>
      <c r="AB116" s="598"/>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598"/>
      <c r="AY116" s="598"/>
      <c r="AZ116" s="598"/>
      <c r="BA116" s="598"/>
      <c r="BB116" s="598"/>
      <c r="BC116" s="598"/>
      <c r="BD116" s="598"/>
      <c r="BE116" s="598"/>
      <c r="BF116" s="598"/>
      <c r="BG116" s="598"/>
      <c r="BH116" s="598"/>
      <c r="BI116" s="598"/>
      <c r="BJ116" s="598"/>
      <c r="BK116" s="598"/>
      <c r="BL116" s="598"/>
      <c r="BM116" s="598"/>
      <c r="BN116" s="598"/>
      <c r="BO116" s="598"/>
      <c r="BP116" s="598"/>
      <c r="BQ116" s="598"/>
      <c r="BR116" s="598"/>
      <c r="BS116" s="598"/>
      <c r="BT116" s="598"/>
      <c r="BU116" s="598"/>
      <c r="BV116" s="598"/>
      <c r="BW116" s="598"/>
      <c r="BX116" s="598"/>
      <c r="BY116" s="598"/>
      <c r="BZ116" s="598"/>
      <c r="CA116" s="598"/>
      <c r="CB116" s="598"/>
      <c r="CC116" s="598"/>
      <c r="CD116" s="598"/>
      <c r="CE116" s="598"/>
      <c r="CF116" s="598"/>
      <c r="CG116" s="598"/>
      <c r="CH116" s="598"/>
      <c r="CI116" s="598"/>
      <c r="CJ116" s="598"/>
      <c r="CK116" s="598"/>
      <c r="CL116" s="598"/>
      <c r="CM116" s="598"/>
      <c r="CN116" s="598"/>
      <c r="CO116" s="598"/>
      <c r="CP116" s="598"/>
      <c r="CQ116" s="598"/>
      <c r="CR116" s="598"/>
      <c r="CS116" s="598"/>
      <c r="CT116" s="598"/>
      <c r="CU116" s="598"/>
      <c r="CV116" s="598"/>
      <c r="CW116" s="598"/>
      <c r="CX116" s="598"/>
      <c r="CY116" s="598"/>
      <c r="CZ116" s="598"/>
      <c r="DA116" s="598"/>
      <c r="DB116" s="598"/>
      <c r="DC116" s="598"/>
      <c r="DD116" s="598"/>
      <c r="DE116" s="598"/>
      <c r="DF116" s="598"/>
      <c r="DG116" s="598"/>
      <c r="DH116" s="598"/>
      <c r="DI116" s="598"/>
      <c r="DJ116" s="598"/>
      <c r="DK116" s="598"/>
      <c r="DL116" s="598"/>
      <c r="DM116" s="598"/>
      <c r="DN116" s="598"/>
      <c r="DO116" s="598"/>
      <c r="DP116" s="598"/>
      <c r="DQ116" s="598"/>
      <c r="DR116" s="598"/>
      <c r="DS116" s="598"/>
      <c r="DT116" s="598"/>
      <c r="DU116" s="598"/>
      <c r="DV116" s="598"/>
      <c r="DW116" s="598"/>
      <c r="DX116" s="598"/>
      <c r="DY116" s="598"/>
      <c r="DZ116" s="598"/>
      <c r="EA116" s="598"/>
      <c r="EB116" s="598"/>
      <c r="EC116" s="598"/>
      <c r="ED116" s="598"/>
      <c r="EE116" s="598"/>
      <c r="EF116" s="598"/>
      <c r="EG116" s="598"/>
      <c r="EH116" s="598"/>
      <c r="EI116" s="598"/>
      <c r="EJ116" s="598"/>
      <c r="EK116" s="598"/>
      <c r="EL116" s="598"/>
      <c r="EM116" s="598"/>
      <c r="EN116" s="598"/>
      <c r="EO116" s="598"/>
      <c r="EP116" s="598"/>
      <c r="EQ116" s="598"/>
      <c r="ER116" s="598"/>
      <c r="ES116" s="598"/>
      <c r="ET116" s="598"/>
      <c r="EU116" s="598"/>
      <c r="EV116" s="598"/>
      <c r="EW116" s="598"/>
      <c r="EX116" s="598"/>
      <c r="EY116" s="598"/>
      <c r="EZ116" s="598"/>
      <c r="FA116" s="598"/>
      <c r="FB116" s="598"/>
      <c r="FC116" s="598"/>
      <c r="FD116" s="598"/>
      <c r="FE116" s="598"/>
      <c r="FF116" s="598"/>
      <c r="FG116" s="598"/>
      <c r="FH116" s="598"/>
      <c r="FI116" s="598"/>
      <c r="FJ116" s="598"/>
      <c r="FK116" s="598"/>
      <c r="FL116" s="598"/>
      <c r="FM116" s="598"/>
      <c r="FN116" s="598"/>
      <c r="FO116" s="598"/>
      <c r="FP116" s="598"/>
      <c r="FQ116" s="598"/>
      <c r="FR116" s="598"/>
      <c r="FS116" s="598"/>
      <c r="FT116" s="598"/>
      <c r="FU116" s="598"/>
      <c r="FV116" s="598"/>
      <c r="FW116" s="598"/>
      <c r="FX116" s="598"/>
      <c r="FY116" s="598"/>
      <c r="FZ116" s="598"/>
      <c r="GA116" s="598"/>
      <c r="GB116" s="598"/>
      <c r="GC116" s="598"/>
      <c r="GD116" s="598"/>
      <c r="GE116" s="598"/>
      <c r="GF116" s="598"/>
      <c r="GG116" s="598"/>
      <c r="GH116" s="598"/>
      <c r="GI116" s="598"/>
      <c r="GJ116" s="598"/>
      <c r="GK116" s="598"/>
      <c r="GL116" s="598"/>
      <c r="GM116" s="598"/>
      <c r="GN116" s="598"/>
      <c r="GO116" s="598"/>
      <c r="GP116" s="598"/>
      <c r="GQ116" s="598"/>
      <c r="GR116" s="598"/>
      <c r="GS116" s="598"/>
      <c r="GT116" s="598"/>
      <c r="GU116" s="598"/>
      <c r="GV116" s="598"/>
      <c r="GW116" s="598"/>
      <c r="GX116" s="598"/>
      <c r="GY116" s="598"/>
      <c r="GZ116" s="598"/>
      <c r="HA116" s="598"/>
      <c r="HB116" s="598"/>
      <c r="HC116" s="598"/>
      <c r="HD116" s="598"/>
      <c r="HE116" s="598"/>
      <c r="HF116" s="598"/>
      <c r="HG116" s="598"/>
      <c r="HH116" s="598"/>
      <c r="HI116" s="598"/>
      <c r="HJ116" s="598"/>
      <c r="HK116" s="598"/>
      <c r="HL116" s="598"/>
      <c r="HM116" s="598"/>
      <c r="HN116" s="598"/>
      <c r="HO116" s="598"/>
      <c r="HP116" s="598"/>
      <c r="HQ116" s="598"/>
      <c r="HR116" s="598"/>
      <c r="HS116" s="598"/>
      <c r="HT116" s="598"/>
      <c r="HU116" s="598"/>
      <c r="HV116" s="598"/>
      <c r="HW116" s="598"/>
      <c r="HX116" s="598"/>
      <c r="HY116" s="598"/>
      <c r="HZ116" s="598"/>
      <c r="IA116" s="598"/>
      <c r="IB116" s="598"/>
      <c r="IC116" s="598"/>
      <c r="ID116" s="598"/>
      <c r="IE116" s="598"/>
      <c r="IF116" s="598"/>
      <c r="IG116" s="598"/>
      <c r="IH116" s="598"/>
      <c r="II116" s="598"/>
      <c r="IJ116" s="598"/>
      <c r="IK116" s="598"/>
      <c r="IL116" s="598"/>
      <c r="IM116" s="598"/>
      <c r="IN116" s="598"/>
      <c r="IO116" s="598"/>
      <c r="IP116" s="598"/>
      <c r="IQ116" s="598"/>
      <c r="IR116" s="598"/>
      <c r="IS116" s="598"/>
      <c r="IT116" s="598"/>
      <c r="IU116" s="598"/>
      <c r="IV116" s="598"/>
    </row>
    <row r="117" spans="1:256" ht="16.5" customHeight="1">
      <c r="A117" s="1"/>
      <c r="B117" s="627"/>
      <c r="C117" s="36"/>
      <c r="D117" s="36"/>
      <c r="E117" s="1066">
        <v>0</v>
      </c>
      <c r="F117" s="1350">
        <v>1</v>
      </c>
      <c r="G117" s="595" t="s">
        <v>821</v>
      </c>
      <c r="H117" s="573"/>
      <c r="I117" s="573"/>
      <c r="J117" s="529"/>
      <c r="K117" s="633">
        <v>2</v>
      </c>
      <c r="L117" s="633">
        <v>1</v>
      </c>
      <c r="M117" s="579">
        <v>0</v>
      </c>
      <c r="N117" s="36"/>
      <c r="O117" s="142"/>
      <c r="P117" s="634">
        <v>2</v>
      </c>
      <c r="Q117" s="314">
        <v>1</v>
      </c>
      <c r="R117" s="635">
        <v>0</v>
      </c>
      <c r="S117" s="412" t="s">
        <v>382</v>
      </c>
      <c r="T117" s="144"/>
      <c r="U117" s="615"/>
      <c r="V117" s="300"/>
      <c r="W117" s="300"/>
      <c r="X117" s="144"/>
      <c r="Y117" s="598"/>
      <c r="Z117" s="598"/>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598"/>
      <c r="BK117" s="598"/>
      <c r="BL117" s="598"/>
      <c r="BM117" s="598"/>
      <c r="BN117" s="598"/>
      <c r="BO117" s="598"/>
      <c r="BP117" s="598"/>
      <c r="BQ117" s="598"/>
      <c r="BR117" s="598"/>
      <c r="BS117" s="598"/>
      <c r="BT117" s="598"/>
      <c r="BU117" s="598"/>
      <c r="BV117" s="598"/>
      <c r="BW117" s="598"/>
      <c r="BX117" s="598"/>
      <c r="BY117" s="598"/>
      <c r="BZ117" s="598"/>
      <c r="CA117" s="598"/>
      <c r="CB117" s="598"/>
      <c r="CC117" s="598"/>
      <c r="CD117" s="598"/>
      <c r="CE117" s="598"/>
      <c r="CF117" s="598"/>
      <c r="CG117" s="598"/>
      <c r="CH117" s="598"/>
      <c r="CI117" s="598"/>
      <c r="CJ117" s="598"/>
      <c r="CK117" s="598"/>
      <c r="CL117" s="598"/>
      <c r="CM117" s="598"/>
      <c r="CN117" s="598"/>
      <c r="CO117" s="598"/>
      <c r="CP117" s="598"/>
      <c r="CQ117" s="598"/>
      <c r="CR117" s="598"/>
      <c r="CS117" s="598"/>
      <c r="CT117" s="598"/>
      <c r="CU117" s="598"/>
      <c r="CV117" s="598"/>
      <c r="CW117" s="598"/>
      <c r="CX117" s="598"/>
      <c r="CY117" s="598"/>
      <c r="CZ117" s="598"/>
      <c r="DA117" s="598"/>
      <c r="DB117" s="598"/>
      <c r="DC117" s="598"/>
      <c r="DD117" s="598"/>
      <c r="DE117" s="598"/>
      <c r="DF117" s="598"/>
      <c r="DG117" s="598"/>
      <c r="DH117" s="598"/>
      <c r="DI117" s="598"/>
      <c r="DJ117" s="598"/>
      <c r="DK117" s="598"/>
      <c r="DL117" s="598"/>
      <c r="DM117" s="598"/>
      <c r="DN117" s="598"/>
      <c r="DO117" s="598"/>
      <c r="DP117" s="598"/>
      <c r="DQ117" s="598"/>
      <c r="DR117" s="598"/>
      <c r="DS117" s="598"/>
      <c r="DT117" s="598"/>
      <c r="DU117" s="598"/>
      <c r="DV117" s="598"/>
      <c r="DW117" s="598"/>
      <c r="DX117" s="598"/>
      <c r="DY117" s="598"/>
      <c r="DZ117" s="598"/>
      <c r="EA117" s="598"/>
      <c r="EB117" s="598"/>
      <c r="EC117" s="598"/>
      <c r="ED117" s="598"/>
      <c r="EE117" s="598"/>
      <c r="EF117" s="598"/>
      <c r="EG117" s="598"/>
      <c r="EH117" s="598"/>
      <c r="EI117" s="598"/>
      <c r="EJ117" s="598"/>
      <c r="EK117" s="598"/>
      <c r="EL117" s="598"/>
      <c r="EM117" s="598"/>
      <c r="EN117" s="598"/>
      <c r="EO117" s="598"/>
      <c r="EP117" s="598"/>
      <c r="EQ117" s="598"/>
      <c r="ER117" s="598"/>
      <c r="ES117" s="598"/>
      <c r="ET117" s="598"/>
      <c r="EU117" s="598"/>
      <c r="EV117" s="598"/>
      <c r="EW117" s="598"/>
      <c r="EX117" s="598"/>
      <c r="EY117" s="598"/>
      <c r="EZ117" s="598"/>
      <c r="FA117" s="598"/>
      <c r="FB117" s="598"/>
      <c r="FC117" s="598"/>
      <c r="FD117" s="598"/>
      <c r="FE117" s="598"/>
      <c r="FF117" s="598"/>
      <c r="FG117" s="598"/>
      <c r="FH117" s="598"/>
      <c r="FI117" s="598"/>
      <c r="FJ117" s="598"/>
      <c r="FK117" s="598"/>
      <c r="FL117" s="598"/>
      <c r="FM117" s="598"/>
      <c r="FN117" s="598"/>
      <c r="FO117" s="598"/>
      <c r="FP117" s="598"/>
      <c r="FQ117" s="598"/>
      <c r="FR117" s="598"/>
      <c r="FS117" s="598"/>
      <c r="FT117" s="598"/>
      <c r="FU117" s="598"/>
      <c r="FV117" s="598"/>
      <c r="FW117" s="598"/>
      <c r="FX117" s="598"/>
      <c r="FY117" s="598"/>
      <c r="FZ117" s="598"/>
      <c r="GA117" s="598"/>
      <c r="GB117" s="598"/>
      <c r="GC117" s="598"/>
      <c r="GD117" s="598"/>
      <c r="GE117" s="598"/>
      <c r="GF117" s="598"/>
      <c r="GG117" s="598"/>
      <c r="GH117" s="598"/>
      <c r="GI117" s="598"/>
      <c r="GJ117" s="598"/>
      <c r="GK117" s="598"/>
      <c r="GL117" s="598"/>
      <c r="GM117" s="598"/>
      <c r="GN117" s="598"/>
      <c r="GO117" s="598"/>
      <c r="GP117" s="598"/>
      <c r="GQ117" s="598"/>
      <c r="GR117" s="598"/>
      <c r="GS117" s="598"/>
      <c r="GT117" s="598"/>
      <c r="GU117" s="598"/>
      <c r="GV117" s="598"/>
      <c r="GW117" s="598"/>
      <c r="GX117" s="598"/>
      <c r="GY117" s="598"/>
      <c r="GZ117" s="598"/>
      <c r="HA117" s="598"/>
      <c r="HB117" s="598"/>
      <c r="HC117" s="598"/>
      <c r="HD117" s="598"/>
      <c r="HE117" s="598"/>
      <c r="HF117" s="598"/>
      <c r="HG117" s="598"/>
      <c r="HH117" s="598"/>
      <c r="HI117" s="598"/>
      <c r="HJ117" s="598"/>
      <c r="HK117" s="598"/>
      <c r="HL117" s="598"/>
      <c r="HM117" s="598"/>
      <c r="HN117" s="598"/>
      <c r="HO117" s="598"/>
      <c r="HP117" s="598"/>
      <c r="HQ117" s="598"/>
      <c r="HR117" s="598"/>
      <c r="HS117" s="598"/>
      <c r="HT117" s="598"/>
      <c r="HU117" s="598"/>
      <c r="HV117" s="598"/>
      <c r="HW117" s="598"/>
      <c r="HX117" s="598"/>
      <c r="HY117" s="598"/>
      <c r="HZ117" s="598"/>
      <c r="IA117" s="598"/>
      <c r="IB117" s="598"/>
      <c r="IC117" s="598"/>
      <c r="ID117" s="598"/>
      <c r="IE117" s="598"/>
      <c r="IF117" s="598"/>
      <c r="IG117" s="598"/>
      <c r="IH117" s="598"/>
      <c r="II117" s="598"/>
      <c r="IJ117" s="598"/>
      <c r="IK117" s="598"/>
      <c r="IL117" s="598"/>
      <c r="IM117" s="598"/>
      <c r="IN117" s="598"/>
      <c r="IO117" s="598"/>
      <c r="IP117" s="598"/>
      <c r="IQ117" s="598"/>
      <c r="IR117" s="598"/>
      <c r="IS117" s="598"/>
      <c r="IT117" s="598"/>
      <c r="IU117" s="598"/>
      <c r="IV117" s="598"/>
    </row>
    <row r="118" spans="1:256" ht="16.5" customHeight="1">
      <c r="A118" s="1"/>
      <c r="B118" s="627"/>
      <c r="C118" s="36"/>
      <c r="D118" s="36"/>
      <c r="E118" s="1068">
        <v>0</v>
      </c>
      <c r="F118" s="1349">
        <v>2</v>
      </c>
      <c r="G118" s="523" t="s">
        <v>822</v>
      </c>
      <c r="H118" s="770"/>
      <c r="I118" s="770"/>
      <c r="J118" s="771"/>
      <c r="K118" s="633">
        <v>2</v>
      </c>
      <c r="L118" s="633">
        <v>1</v>
      </c>
      <c r="M118" s="579">
        <v>0</v>
      </c>
      <c r="N118" s="36"/>
      <c r="O118" s="142"/>
      <c r="P118" s="634">
        <v>2</v>
      </c>
      <c r="Q118" s="314">
        <v>1</v>
      </c>
      <c r="R118" s="635">
        <v>0</v>
      </c>
      <c r="S118" s="412" t="s">
        <v>382</v>
      </c>
      <c r="T118" s="144"/>
      <c r="U118" s="615"/>
      <c r="V118" s="300"/>
      <c r="W118" s="300"/>
      <c r="X118" s="144"/>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598"/>
      <c r="BG118" s="598"/>
      <c r="BH118" s="598"/>
      <c r="BI118" s="598"/>
      <c r="BJ118" s="598"/>
      <c r="BK118" s="598"/>
      <c r="BL118" s="598"/>
      <c r="BM118" s="598"/>
      <c r="BN118" s="598"/>
      <c r="BO118" s="598"/>
      <c r="BP118" s="598"/>
      <c r="BQ118" s="598"/>
      <c r="BR118" s="598"/>
      <c r="BS118" s="598"/>
      <c r="BT118" s="598"/>
      <c r="BU118" s="598"/>
      <c r="BV118" s="598"/>
      <c r="BW118" s="598"/>
      <c r="BX118" s="598"/>
      <c r="BY118" s="598"/>
      <c r="BZ118" s="598"/>
      <c r="CA118" s="598"/>
      <c r="CB118" s="598"/>
      <c r="CC118" s="598"/>
      <c r="CD118" s="598"/>
      <c r="CE118" s="598"/>
      <c r="CF118" s="598"/>
      <c r="CG118" s="598"/>
      <c r="CH118" s="598"/>
      <c r="CI118" s="598"/>
      <c r="CJ118" s="598"/>
      <c r="CK118" s="598"/>
      <c r="CL118" s="598"/>
      <c r="CM118" s="598"/>
      <c r="CN118" s="598"/>
      <c r="CO118" s="598"/>
      <c r="CP118" s="598"/>
      <c r="CQ118" s="598"/>
      <c r="CR118" s="598"/>
      <c r="CS118" s="598"/>
      <c r="CT118" s="598"/>
      <c r="CU118" s="598"/>
      <c r="CV118" s="598"/>
      <c r="CW118" s="598"/>
      <c r="CX118" s="598"/>
      <c r="CY118" s="598"/>
      <c r="CZ118" s="598"/>
      <c r="DA118" s="598"/>
      <c r="DB118" s="598"/>
      <c r="DC118" s="598"/>
      <c r="DD118" s="598"/>
      <c r="DE118" s="598"/>
      <c r="DF118" s="598"/>
      <c r="DG118" s="598"/>
      <c r="DH118" s="598"/>
      <c r="DI118" s="598"/>
      <c r="DJ118" s="598"/>
      <c r="DK118" s="598"/>
      <c r="DL118" s="598"/>
      <c r="DM118" s="598"/>
      <c r="DN118" s="598"/>
      <c r="DO118" s="598"/>
      <c r="DP118" s="598"/>
      <c r="DQ118" s="598"/>
      <c r="DR118" s="598"/>
      <c r="DS118" s="598"/>
      <c r="DT118" s="598"/>
      <c r="DU118" s="598"/>
      <c r="DV118" s="598"/>
      <c r="DW118" s="598"/>
      <c r="DX118" s="598"/>
      <c r="DY118" s="598"/>
      <c r="DZ118" s="598"/>
      <c r="EA118" s="598"/>
      <c r="EB118" s="598"/>
      <c r="EC118" s="598"/>
      <c r="ED118" s="598"/>
      <c r="EE118" s="598"/>
      <c r="EF118" s="598"/>
      <c r="EG118" s="598"/>
      <c r="EH118" s="598"/>
      <c r="EI118" s="598"/>
      <c r="EJ118" s="598"/>
      <c r="EK118" s="598"/>
      <c r="EL118" s="598"/>
      <c r="EM118" s="598"/>
      <c r="EN118" s="598"/>
      <c r="EO118" s="598"/>
      <c r="EP118" s="598"/>
      <c r="EQ118" s="598"/>
      <c r="ER118" s="598"/>
      <c r="ES118" s="598"/>
      <c r="ET118" s="598"/>
      <c r="EU118" s="598"/>
      <c r="EV118" s="598"/>
      <c r="EW118" s="598"/>
      <c r="EX118" s="598"/>
      <c r="EY118" s="598"/>
      <c r="EZ118" s="598"/>
      <c r="FA118" s="598"/>
      <c r="FB118" s="598"/>
      <c r="FC118" s="598"/>
      <c r="FD118" s="598"/>
      <c r="FE118" s="598"/>
      <c r="FF118" s="598"/>
      <c r="FG118" s="598"/>
      <c r="FH118" s="598"/>
      <c r="FI118" s="598"/>
      <c r="FJ118" s="598"/>
      <c r="FK118" s="598"/>
      <c r="FL118" s="598"/>
      <c r="FM118" s="598"/>
      <c r="FN118" s="598"/>
      <c r="FO118" s="598"/>
      <c r="FP118" s="598"/>
      <c r="FQ118" s="598"/>
      <c r="FR118" s="598"/>
      <c r="FS118" s="598"/>
      <c r="FT118" s="598"/>
      <c r="FU118" s="598"/>
      <c r="FV118" s="598"/>
      <c r="FW118" s="598"/>
      <c r="FX118" s="598"/>
      <c r="FY118" s="598"/>
      <c r="FZ118" s="598"/>
      <c r="GA118" s="598"/>
      <c r="GB118" s="598"/>
      <c r="GC118" s="598"/>
      <c r="GD118" s="598"/>
      <c r="GE118" s="598"/>
      <c r="GF118" s="598"/>
      <c r="GG118" s="598"/>
      <c r="GH118" s="598"/>
      <c r="GI118" s="598"/>
      <c r="GJ118" s="598"/>
      <c r="GK118" s="598"/>
      <c r="GL118" s="598"/>
      <c r="GM118" s="598"/>
      <c r="GN118" s="598"/>
      <c r="GO118" s="598"/>
      <c r="GP118" s="598"/>
      <c r="GQ118" s="598"/>
      <c r="GR118" s="598"/>
      <c r="GS118" s="598"/>
      <c r="GT118" s="598"/>
      <c r="GU118" s="598"/>
      <c r="GV118" s="598"/>
      <c r="GW118" s="598"/>
      <c r="GX118" s="598"/>
      <c r="GY118" s="598"/>
      <c r="GZ118" s="598"/>
      <c r="HA118" s="598"/>
      <c r="HB118" s="598"/>
      <c r="HC118" s="598"/>
      <c r="HD118" s="598"/>
      <c r="HE118" s="598"/>
      <c r="HF118" s="598"/>
      <c r="HG118" s="598"/>
      <c r="HH118" s="598"/>
      <c r="HI118" s="598"/>
      <c r="HJ118" s="598"/>
      <c r="HK118" s="598"/>
      <c r="HL118" s="598"/>
      <c r="HM118" s="598"/>
      <c r="HN118" s="598"/>
      <c r="HO118" s="598"/>
      <c r="HP118" s="598"/>
      <c r="HQ118" s="598"/>
      <c r="HR118" s="598"/>
      <c r="HS118" s="598"/>
      <c r="HT118" s="598"/>
      <c r="HU118" s="598"/>
      <c r="HV118" s="598"/>
      <c r="HW118" s="598"/>
      <c r="HX118" s="598"/>
      <c r="HY118" s="598"/>
      <c r="HZ118" s="598"/>
      <c r="IA118" s="598"/>
      <c r="IB118" s="598"/>
      <c r="IC118" s="598"/>
      <c r="ID118" s="598"/>
      <c r="IE118" s="598"/>
      <c r="IF118" s="598"/>
      <c r="IG118" s="598"/>
      <c r="IH118" s="598"/>
      <c r="II118" s="598"/>
      <c r="IJ118" s="598"/>
      <c r="IK118" s="598"/>
      <c r="IL118" s="598"/>
      <c r="IM118" s="598"/>
      <c r="IN118" s="598"/>
      <c r="IO118" s="598"/>
      <c r="IP118" s="598"/>
      <c r="IQ118" s="598"/>
      <c r="IR118" s="598"/>
      <c r="IS118" s="598"/>
      <c r="IT118" s="598"/>
      <c r="IU118" s="598"/>
      <c r="IV118" s="598"/>
    </row>
    <row r="119" spans="1:256" ht="16.5" customHeight="1">
      <c r="A119" s="1"/>
      <c r="B119" s="627"/>
      <c r="C119" s="36"/>
      <c r="D119" s="36"/>
      <c r="E119" s="1068">
        <v>2</v>
      </c>
      <c r="F119" s="1349">
        <v>3</v>
      </c>
      <c r="G119" s="523" t="s">
        <v>823</v>
      </c>
      <c r="H119" s="770"/>
      <c r="I119" s="770"/>
      <c r="J119" s="771"/>
      <c r="K119" s="633">
        <v>2</v>
      </c>
      <c r="L119" s="633">
        <v>1</v>
      </c>
      <c r="M119" s="579">
        <v>0</v>
      </c>
      <c r="N119" s="36"/>
      <c r="O119" s="142"/>
      <c r="P119" s="634">
        <v>2</v>
      </c>
      <c r="Q119" s="314">
        <v>1</v>
      </c>
      <c r="R119" s="635">
        <v>0</v>
      </c>
      <c r="S119" s="412" t="s">
        <v>382</v>
      </c>
      <c r="T119" s="144"/>
      <c r="U119" s="615"/>
      <c r="V119" s="300"/>
      <c r="W119" s="300"/>
      <c r="X119" s="144"/>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598"/>
      <c r="BK119" s="598"/>
      <c r="BL119" s="598"/>
      <c r="BM119" s="598"/>
      <c r="BN119" s="598"/>
      <c r="BO119" s="598"/>
      <c r="BP119" s="598"/>
      <c r="BQ119" s="598"/>
      <c r="BR119" s="598"/>
      <c r="BS119" s="598"/>
      <c r="BT119" s="598"/>
      <c r="BU119" s="598"/>
      <c r="BV119" s="598"/>
      <c r="BW119" s="598"/>
      <c r="BX119" s="598"/>
      <c r="BY119" s="598"/>
      <c r="BZ119" s="598"/>
      <c r="CA119" s="598"/>
      <c r="CB119" s="598"/>
      <c r="CC119" s="598"/>
      <c r="CD119" s="598"/>
      <c r="CE119" s="598"/>
      <c r="CF119" s="598"/>
      <c r="CG119" s="598"/>
      <c r="CH119" s="598"/>
      <c r="CI119" s="598"/>
      <c r="CJ119" s="598"/>
      <c r="CK119" s="598"/>
      <c r="CL119" s="598"/>
      <c r="CM119" s="598"/>
      <c r="CN119" s="598"/>
      <c r="CO119" s="598"/>
      <c r="CP119" s="598"/>
      <c r="CQ119" s="598"/>
      <c r="CR119" s="598"/>
      <c r="CS119" s="598"/>
      <c r="CT119" s="598"/>
      <c r="CU119" s="598"/>
      <c r="CV119" s="598"/>
      <c r="CW119" s="598"/>
      <c r="CX119" s="598"/>
      <c r="CY119" s="598"/>
      <c r="CZ119" s="598"/>
      <c r="DA119" s="598"/>
      <c r="DB119" s="598"/>
      <c r="DC119" s="598"/>
      <c r="DD119" s="598"/>
      <c r="DE119" s="598"/>
      <c r="DF119" s="598"/>
      <c r="DG119" s="598"/>
      <c r="DH119" s="598"/>
      <c r="DI119" s="598"/>
      <c r="DJ119" s="598"/>
      <c r="DK119" s="598"/>
      <c r="DL119" s="598"/>
      <c r="DM119" s="598"/>
      <c r="DN119" s="598"/>
      <c r="DO119" s="598"/>
      <c r="DP119" s="598"/>
      <c r="DQ119" s="598"/>
      <c r="DR119" s="598"/>
      <c r="DS119" s="598"/>
      <c r="DT119" s="598"/>
      <c r="DU119" s="598"/>
      <c r="DV119" s="598"/>
      <c r="DW119" s="598"/>
      <c r="DX119" s="598"/>
      <c r="DY119" s="598"/>
      <c r="DZ119" s="598"/>
      <c r="EA119" s="598"/>
      <c r="EB119" s="598"/>
      <c r="EC119" s="598"/>
      <c r="ED119" s="598"/>
      <c r="EE119" s="598"/>
      <c r="EF119" s="598"/>
      <c r="EG119" s="598"/>
      <c r="EH119" s="598"/>
      <c r="EI119" s="598"/>
      <c r="EJ119" s="598"/>
      <c r="EK119" s="598"/>
      <c r="EL119" s="598"/>
      <c r="EM119" s="598"/>
      <c r="EN119" s="598"/>
      <c r="EO119" s="598"/>
      <c r="EP119" s="598"/>
      <c r="EQ119" s="598"/>
      <c r="ER119" s="598"/>
      <c r="ES119" s="598"/>
      <c r="ET119" s="598"/>
      <c r="EU119" s="598"/>
      <c r="EV119" s="598"/>
      <c r="EW119" s="598"/>
      <c r="EX119" s="598"/>
      <c r="EY119" s="598"/>
      <c r="EZ119" s="598"/>
      <c r="FA119" s="598"/>
      <c r="FB119" s="598"/>
      <c r="FC119" s="598"/>
      <c r="FD119" s="598"/>
      <c r="FE119" s="598"/>
      <c r="FF119" s="598"/>
      <c r="FG119" s="598"/>
      <c r="FH119" s="598"/>
      <c r="FI119" s="598"/>
      <c r="FJ119" s="598"/>
      <c r="FK119" s="598"/>
      <c r="FL119" s="598"/>
      <c r="FM119" s="598"/>
      <c r="FN119" s="598"/>
      <c r="FO119" s="598"/>
      <c r="FP119" s="598"/>
      <c r="FQ119" s="598"/>
      <c r="FR119" s="598"/>
      <c r="FS119" s="598"/>
      <c r="FT119" s="598"/>
      <c r="FU119" s="598"/>
      <c r="FV119" s="598"/>
      <c r="FW119" s="598"/>
      <c r="FX119" s="598"/>
      <c r="FY119" s="598"/>
      <c r="FZ119" s="598"/>
      <c r="GA119" s="598"/>
      <c r="GB119" s="598"/>
      <c r="GC119" s="598"/>
      <c r="GD119" s="598"/>
      <c r="GE119" s="598"/>
      <c r="GF119" s="598"/>
      <c r="GG119" s="598"/>
      <c r="GH119" s="598"/>
      <c r="GI119" s="598"/>
      <c r="GJ119" s="598"/>
      <c r="GK119" s="598"/>
      <c r="GL119" s="598"/>
      <c r="GM119" s="598"/>
      <c r="GN119" s="598"/>
      <c r="GO119" s="598"/>
      <c r="GP119" s="598"/>
      <c r="GQ119" s="598"/>
      <c r="GR119" s="598"/>
      <c r="GS119" s="598"/>
      <c r="GT119" s="598"/>
      <c r="GU119" s="598"/>
      <c r="GV119" s="598"/>
      <c r="GW119" s="598"/>
      <c r="GX119" s="598"/>
      <c r="GY119" s="598"/>
      <c r="GZ119" s="598"/>
      <c r="HA119" s="598"/>
      <c r="HB119" s="598"/>
      <c r="HC119" s="598"/>
      <c r="HD119" s="598"/>
      <c r="HE119" s="598"/>
      <c r="HF119" s="598"/>
      <c r="HG119" s="598"/>
      <c r="HH119" s="598"/>
      <c r="HI119" s="598"/>
      <c r="HJ119" s="598"/>
      <c r="HK119" s="598"/>
      <c r="HL119" s="598"/>
      <c r="HM119" s="598"/>
      <c r="HN119" s="598"/>
      <c r="HO119" s="598"/>
      <c r="HP119" s="598"/>
      <c r="HQ119" s="598"/>
      <c r="HR119" s="598"/>
      <c r="HS119" s="598"/>
      <c r="HT119" s="598"/>
      <c r="HU119" s="598"/>
      <c r="HV119" s="598"/>
      <c r="HW119" s="598"/>
      <c r="HX119" s="598"/>
      <c r="HY119" s="598"/>
      <c r="HZ119" s="598"/>
      <c r="IA119" s="598"/>
      <c r="IB119" s="598"/>
      <c r="IC119" s="598"/>
      <c r="ID119" s="598"/>
      <c r="IE119" s="598"/>
      <c r="IF119" s="598"/>
      <c r="IG119" s="598"/>
      <c r="IH119" s="598"/>
      <c r="II119" s="598"/>
      <c r="IJ119" s="598"/>
      <c r="IK119" s="598"/>
      <c r="IL119" s="598"/>
      <c r="IM119" s="598"/>
      <c r="IN119" s="598"/>
      <c r="IO119" s="598"/>
      <c r="IP119" s="598"/>
      <c r="IQ119" s="598"/>
      <c r="IR119" s="598"/>
      <c r="IS119" s="598"/>
      <c r="IT119" s="598"/>
      <c r="IU119" s="598"/>
      <c r="IV119" s="598"/>
    </row>
    <row r="120" spans="1:256" ht="16.5" customHeight="1">
      <c r="A120" s="1"/>
      <c r="B120" s="627"/>
      <c r="C120" s="36"/>
      <c r="D120" s="36"/>
      <c r="E120" s="1068">
        <v>2</v>
      </c>
      <c r="F120" s="1349">
        <v>4</v>
      </c>
      <c r="G120" s="523" t="s">
        <v>824</v>
      </c>
      <c r="H120" s="770"/>
      <c r="I120" s="770"/>
      <c r="J120" s="771"/>
      <c r="K120" s="633">
        <v>2</v>
      </c>
      <c r="L120" s="633">
        <v>1</v>
      </c>
      <c r="M120" s="579">
        <v>0</v>
      </c>
      <c r="N120" s="36"/>
      <c r="O120" s="142"/>
      <c r="P120" s="634">
        <v>2</v>
      </c>
      <c r="Q120" s="314">
        <v>1</v>
      </c>
      <c r="R120" s="635">
        <v>0</v>
      </c>
      <c r="S120" s="412" t="s">
        <v>382</v>
      </c>
      <c r="T120" s="144"/>
      <c r="U120" s="615"/>
      <c r="V120" s="300"/>
      <c r="W120" s="300"/>
      <c r="X120" s="144"/>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8"/>
      <c r="BA120" s="598"/>
      <c r="BB120" s="598"/>
      <c r="BC120" s="598"/>
      <c r="BD120" s="598"/>
      <c r="BE120" s="598"/>
      <c r="BF120" s="598"/>
      <c r="BG120" s="598"/>
      <c r="BH120" s="598"/>
      <c r="BI120" s="598"/>
      <c r="BJ120" s="598"/>
      <c r="BK120" s="598"/>
      <c r="BL120" s="598"/>
      <c r="BM120" s="598"/>
      <c r="BN120" s="598"/>
      <c r="BO120" s="598"/>
      <c r="BP120" s="598"/>
      <c r="BQ120" s="598"/>
      <c r="BR120" s="598"/>
      <c r="BS120" s="598"/>
      <c r="BT120" s="598"/>
      <c r="BU120" s="598"/>
      <c r="BV120" s="598"/>
      <c r="BW120" s="598"/>
      <c r="BX120" s="598"/>
      <c r="BY120" s="598"/>
      <c r="BZ120" s="598"/>
      <c r="CA120" s="598"/>
      <c r="CB120" s="598"/>
      <c r="CC120" s="598"/>
      <c r="CD120" s="598"/>
      <c r="CE120" s="598"/>
      <c r="CF120" s="598"/>
      <c r="CG120" s="598"/>
      <c r="CH120" s="598"/>
      <c r="CI120" s="598"/>
      <c r="CJ120" s="598"/>
      <c r="CK120" s="598"/>
      <c r="CL120" s="598"/>
      <c r="CM120" s="598"/>
      <c r="CN120" s="598"/>
      <c r="CO120" s="598"/>
      <c r="CP120" s="598"/>
      <c r="CQ120" s="598"/>
      <c r="CR120" s="598"/>
      <c r="CS120" s="598"/>
      <c r="CT120" s="598"/>
      <c r="CU120" s="598"/>
      <c r="CV120" s="598"/>
      <c r="CW120" s="598"/>
      <c r="CX120" s="598"/>
      <c r="CY120" s="598"/>
      <c r="CZ120" s="598"/>
      <c r="DA120" s="598"/>
      <c r="DB120" s="598"/>
      <c r="DC120" s="598"/>
      <c r="DD120" s="598"/>
      <c r="DE120" s="598"/>
      <c r="DF120" s="598"/>
      <c r="DG120" s="598"/>
      <c r="DH120" s="598"/>
      <c r="DI120" s="598"/>
      <c r="DJ120" s="598"/>
      <c r="DK120" s="598"/>
      <c r="DL120" s="598"/>
      <c r="DM120" s="598"/>
      <c r="DN120" s="598"/>
      <c r="DO120" s="598"/>
      <c r="DP120" s="598"/>
      <c r="DQ120" s="598"/>
      <c r="DR120" s="598"/>
      <c r="DS120" s="598"/>
      <c r="DT120" s="598"/>
      <c r="DU120" s="598"/>
      <c r="DV120" s="598"/>
      <c r="DW120" s="598"/>
      <c r="DX120" s="598"/>
      <c r="DY120" s="598"/>
      <c r="DZ120" s="598"/>
      <c r="EA120" s="598"/>
      <c r="EB120" s="598"/>
      <c r="EC120" s="598"/>
      <c r="ED120" s="598"/>
      <c r="EE120" s="598"/>
      <c r="EF120" s="598"/>
      <c r="EG120" s="598"/>
      <c r="EH120" s="598"/>
      <c r="EI120" s="598"/>
      <c r="EJ120" s="598"/>
      <c r="EK120" s="598"/>
      <c r="EL120" s="598"/>
      <c r="EM120" s="598"/>
      <c r="EN120" s="598"/>
      <c r="EO120" s="598"/>
      <c r="EP120" s="598"/>
      <c r="EQ120" s="598"/>
      <c r="ER120" s="598"/>
      <c r="ES120" s="598"/>
      <c r="ET120" s="598"/>
      <c r="EU120" s="598"/>
      <c r="EV120" s="598"/>
      <c r="EW120" s="598"/>
      <c r="EX120" s="598"/>
      <c r="EY120" s="598"/>
      <c r="EZ120" s="598"/>
      <c r="FA120" s="598"/>
      <c r="FB120" s="598"/>
      <c r="FC120" s="598"/>
      <c r="FD120" s="598"/>
      <c r="FE120" s="598"/>
      <c r="FF120" s="598"/>
      <c r="FG120" s="598"/>
      <c r="FH120" s="598"/>
      <c r="FI120" s="598"/>
      <c r="FJ120" s="598"/>
      <c r="FK120" s="598"/>
      <c r="FL120" s="598"/>
      <c r="FM120" s="598"/>
      <c r="FN120" s="598"/>
      <c r="FO120" s="598"/>
      <c r="FP120" s="598"/>
      <c r="FQ120" s="598"/>
      <c r="FR120" s="598"/>
      <c r="FS120" s="598"/>
      <c r="FT120" s="598"/>
      <c r="FU120" s="598"/>
      <c r="FV120" s="598"/>
      <c r="FW120" s="598"/>
      <c r="FX120" s="598"/>
      <c r="FY120" s="598"/>
      <c r="FZ120" s="598"/>
      <c r="GA120" s="598"/>
      <c r="GB120" s="598"/>
      <c r="GC120" s="598"/>
      <c r="GD120" s="598"/>
      <c r="GE120" s="598"/>
      <c r="GF120" s="598"/>
      <c r="GG120" s="598"/>
      <c r="GH120" s="598"/>
      <c r="GI120" s="598"/>
      <c r="GJ120" s="598"/>
      <c r="GK120" s="598"/>
      <c r="GL120" s="598"/>
      <c r="GM120" s="598"/>
      <c r="GN120" s="598"/>
      <c r="GO120" s="598"/>
      <c r="GP120" s="598"/>
      <c r="GQ120" s="598"/>
      <c r="GR120" s="598"/>
      <c r="GS120" s="598"/>
      <c r="GT120" s="598"/>
      <c r="GU120" s="598"/>
      <c r="GV120" s="598"/>
      <c r="GW120" s="598"/>
      <c r="GX120" s="598"/>
      <c r="GY120" s="598"/>
      <c r="GZ120" s="598"/>
      <c r="HA120" s="598"/>
      <c r="HB120" s="598"/>
      <c r="HC120" s="598"/>
      <c r="HD120" s="598"/>
      <c r="HE120" s="598"/>
      <c r="HF120" s="598"/>
      <c r="HG120" s="598"/>
      <c r="HH120" s="598"/>
      <c r="HI120" s="598"/>
      <c r="HJ120" s="598"/>
      <c r="HK120" s="598"/>
      <c r="HL120" s="598"/>
      <c r="HM120" s="598"/>
      <c r="HN120" s="598"/>
      <c r="HO120" s="598"/>
      <c r="HP120" s="598"/>
      <c r="HQ120" s="598"/>
      <c r="HR120" s="598"/>
      <c r="HS120" s="598"/>
      <c r="HT120" s="598"/>
      <c r="HU120" s="598"/>
      <c r="HV120" s="598"/>
      <c r="HW120" s="598"/>
      <c r="HX120" s="598"/>
      <c r="HY120" s="598"/>
      <c r="HZ120" s="598"/>
      <c r="IA120" s="598"/>
      <c r="IB120" s="598"/>
      <c r="IC120" s="598"/>
      <c r="ID120" s="598"/>
      <c r="IE120" s="598"/>
      <c r="IF120" s="598"/>
      <c r="IG120" s="598"/>
      <c r="IH120" s="598"/>
      <c r="II120" s="598"/>
      <c r="IJ120" s="598"/>
      <c r="IK120" s="598"/>
      <c r="IL120" s="598"/>
      <c r="IM120" s="598"/>
      <c r="IN120" s="598"/>
      <c r="IO120" s="598"/>
      <c r="IP120" s="598"/>
      <c r="IQ120" s="598"/>
      <c r="IR120" s="598"/>
      <c r="IS120" s="598"/>
      <c r="IT120" s="598"/>
      <c r="IU120" s="598"/>
      <c r="IV120" s="598"/>
    </row>
    <row r="121" spans="1:256" ht="16.5" customHeight="1">
      <c r="A121" s="1"/>
      <c r="B121" s="627"/>
      <c r="C121" s="36"/>
      <c r="D121" s="36"/>
      <c r="E121" s="1068">
        <v>1</v>
      </c>
      <c r="F121" s="1349">
        <v>5</v>
      </c>
      <c r="G121" s="523" t="s">
        <v>825</v>
      </c>
      <c r="H121" s="770"/>
      <c r="I121" s="770"/>
      <c r="J121" s="771"/>
      <c r="K121" s="633">
        <v>2</v>
      </c>
      <c r="L121" s="633">
        <v>1</v>
      </c>
      <c r="M121" s="579">
        <v>0</v>
      </c>
      <c r="N121" s="36"/>
      <c r="O121" s="142"/>
      <c r="P121" s="634">
        <v>2</v>
      </c>
      <c r="Q121" s="314">
        <v>1</v>
      </c>
      <c r="R121" s="635">
        <v>0</v>
      </c>
      <c r="S121" s="412" t="s">
        <v>382</v>
      </c>
      <c r="T121" s="144"/>
      <c r="U121" s="615"/>
      <c r="V121" s="300"/>
      <c r="W121" s="300"/>
      <c r="X121" s="144"/>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8"/>
      <c r="BC121" s="598"/>
      <c r="BD121" s="598"/>
      <c r="BE121" s="598"/>
      <c r="BF121" s="598"/>
      <c r="BG121" s="598"/>
      <c r="BH121" s="598"/>
      <c r="BI121" s="598"/>
      <c r="BJ121" s="598"/>
      <c r="BK121" s="598"/>
      <c r="BL121" s="598"/>
      <c r="BM121" s="598"/>
      <c r="BN121" s="598"/>
      <c r="BO121" s="598"/>
      <c r="BP121" s="598"/>
      <c r="BQ121" s="598"/>
      <c r="BR121" s="598"/>
      <c r="BS121" s="598"/>
      <c r="BT121" s="598"/>
      <c r="BU121" s="598"/>
      <c r="BV121" s="598"/>
      <c r="BW121" s="598"/>
      <c r="BX121" s="598"/>
      <c r="BY121" s="598"/>
      <c r="BZ121" s="598"/>
      <c r="CA121" s="598"/>
      <c r="CB121" s="598"/>
      <c r="CC121" s="598"/>
      <c r="CD121" s="598"/>
      <c r="CE121" s="598"/>
      <c r="CF121" s="598"/>
      <c r="CG121" s="598"/>
      <c r="CH121" s="598"/>
      <c r="CI121" s="598"/>
      <c r="CJ121" s="598"/>
      <c r="CK121" s="598"/>
      <c r="CL121" s="598"/>
      <c r="CM121" s="598"/>
      <c r="CN121" s="598"/>
      <c r="CO121" s="598"/>
      <c r="CP121" s="598"/>
      <c r="CQ121" s="598"/>
      <c r="CR121" s="598"/>
      <c r="CS121" s="598"/>
      <c r="CT121" s="598"/>
      <c r="CU121" s="598"/>
      <c r="CV121" s="598"/>
      <c r="CW121" s="598"/>
      <c r="CX121" s="598"/>
      <c r="CY121" s="598"/>
      <c r="CZ121" s="598"/>
      <c r="DA121" s="598"/>
      <c r="DB121" s="598"/>
      <c r="DC121" s="598"/>
      <c r="DD121" s="598"/>
      <c r="DE121" s="598"/>
      <c r="DF121" s="598"/>
      <c r="DG121" s="598"/>
      <c r="DH121" s="598"/>
      <c r="DI121" s="598"/>
      <c r="DJ121" s="598"/>
      <c r="DK121" s="598"/>
      <c r="DL121" s="598"/>
      <c r="DM121" s="598"/>
      <c r="DN121" s="598"/>
      <c r="DO121" s="598"/>
      <c r="DP121" s="598"/>
      <c r="DQ121" s="598"/>
      <c r="DR121" s="598"/>
      <c r="DS121" s="598"/>
      <c r="DT121" s="598"/>
      <c r="DU121" s="598"/>
      <c r="DV121" s="598"/>
      <c r="DW121" s="598"/>
      <c r="DX121" s="598"/>
      <c r="DY121" s="598"/>
      <c r="DZ121" s="598"/>
      <c r="EA121" s="598"/>
      <c r="EB121" s="598"/>
      <c r="EC121" s="598"/>
      <c r="ED121" s="598"/>
      <c r="EE121" s="598"/>
      <c r="EF121" s="598"/>
      <c r="EG121" s="598"/>
      <c r="EH121" s="598"/>
      <c r="EI121" s="598"/>
      <c r="EJ121" s="598"/>
      <c r="EK121" s="598"/>
      <c r="EL121" s="598"/>
      <c r="EM121" s="598"/>
      <c r="EN121" s="598"/>
      <c r="EO121" s="598"/>
      <c r="EP121" s="598"/>
      <c r="EQ121" s="598"/>
      <c r="ER121" s="598"/>
      <c r="ES121" s="598"/>
      <c r="ET121" s="598"/>
      <c r="EU121" s="598"/>
      <c r="EV121" s="598"/>
      <c r="EW121" s="598"/>
      <c r="EX121" s="598"/>
      <c r="EY121" s="598"/>
      <c r="EZ121" s="598"/>
      <c r="FA121" s="598"/>
      <c r="FB121" s="598"/>
      <c r="FC121" s="598"/>
      <c r="FD121" s="598"/>
      <c r="FE121" s="598"/>
      <c r="FF121" s="598"/>
      <c r="FG121" s="598"/>
      <c r="FH121" s="598"/>
      <c r="FI121" s="598"/>
      <c r="FJ121" s="598"/>
      <c r="FK121" s="598"/>
      <c r="FL121" s="598"/>
      <c r="FM121" s="598"/>
      <c r="FN121" s="598"/>
      <c r="FO121" s="598"/>
      <c r="FP121" s="598"/>
      <c r="FQ121" s="598"/>
      <c r="FR121" s="598"/>
      <c r="FS121" s="598"/>
      <c r="FT121" s="598"/>
      <c r="FU121" s="598"/>
      <c r="FV121" s="598"/>
      <c r="FW121" s="598"/>
      <c r="FX121" s="598"/>
      <c r="FY121" s="598"/>
      <c r="FZ121" s="598"/>
      <c r="GA121" s="598"/>
      <c r="GB121" s="598"/>
      <c r="GC121" s="598"/>
      <c r="GD121" s="598"/>
      <c r="GE121" s="598"/>
      <c r="GF121" s="598"/>
      <c r="GG121" s="598"/>
      <c r="GH121" s="598"/>
      <c r="GI121" s="598"/>
      <c r="GJ121" s="598"/>
      <c r="GK121" s="598"/>
      <c r="GL121" s="598"/>
      <c r="GM121" s="598"/>
      <c r="GN121" s="598"/>
      <c r="GO121" s="598"/>
      <c r="GP121" s="598"/>
      <c r="GQ121" s="598"/>
      <c r="GR121" s="598"/>
      <c r="GS121" s="598"/>
      <c r="GT121" s="598"/>
      <c r="GU121" s="598"/>
      <c r="GV121" s="598"/>
      <c r="GW121" s="598"/>
      <c r="GX121" s="598"/>
      <c r="GY121" s="598"/>
      <c r="GZ121" s="598"/>
      <c r="HA121" s="598"/>
      <c r="HB121" s="598"/>
      <c r="HC121" s="598"/>
      <c r="HD121" s="598"/>
      <c r="HE121" s="598"/>
      <c r="HF121" s="598"/>
      <c r="HG121" s="598"/>
      <c r="HH121" s="598"/>
      <c r="HI121" s="598"/>
      <c r="HJ121" s="598"/>
      <c r="HK121" s="598"/>
      <c r="HL121" s="598"/>
      <c r="HM121" s="598"/>
      <c r="HN121" s="598"/>
      <c r="HO121" s="598"/>
      <c r="HP121" s="598"/>
      <c r="HQ121" s="598"/>
      <c r="HR121" s="598"/>
      <c r="HS121" s="598"/>
      <c r="HT121" s="598"/>
      <c r="HU121" s="598"/>
      <c r="HV121" s="598"/>
      <c r="HW121" s="598"/>
      <c r="HX121" s="598"/>
      <c r="HY121" s="598"/>
      <c r="HZ121" s="598"/>
      <c r="IA121" s="598"/>
      <c r="IB121" s="598"/>
      <c r="IC121" s="598"/>
      <c r="ID121" s="598"/>
      <c r="IE121" s="598"/>
      <c r="IF121" s="598"/>
      <c r="IG121" s="598"/>
      <c r="IH121" s="598"/>
      <c r="II121" s="598"/>
      <c r="IJ121" s="598"/>
      <c r="IK121" s="598"/>
      <c r="IL121" s="598"/>
      <c r="IM121" s="598"/>
      <c r="IN121" s="598"/>
      <c r="IO121" s="598"/>
      <c r="IP121" s="598"/>
      <c r="IQ121" s="598"/>
      <c r="IR121" s="598"/>
      <c r="IS121" s="598"/>
      <c r="IT121" s="598"/>
      <c r="IU121" s="598"/>
      <c r="IV121" s="598"/>
    </row>
    <row r="122" spans="1:256" ht="16.5" customHeight="1" thickBot="1">
      <c r="A122" s="1"/>
      <c r="B122" s="627"/>
      <c r="C122" s="36"/>
      <c r="D122" s="36"/>
      <c r="E122" s="1069">
        <v>0</v>
      </c>
      <c r="F122" s="795">
        <v>6</v>
      </c>
      <c r="G122" s="524" t="s">
        <v>826</v>
      </c>
      <c r="H122" s="772"/>
      <c r="I122" s="772"/>
      <c r="J122" s="773"/>
      <c r="K122" s="633">
        <v>2</v>
      </c>
      <c r="L122" s="633">
        <v>1</v>
      </c>
      <c r="M122" s="579">
        <v>0</v>
      </c>
      <c r="N122" s="36"/>
      <c r="O122" s="142"/>
      <c r="P122" s="634">
        <v>2</v>
      </c>
      <c r="Q122" s="314">
        <v>1</v>
      </c>
      <c r="R122" s="635">
        <v>0</v>
      </c>
      <c r="S122" s="412" t="s">
        <v>382</v>
      </c>
      <c r="T122" s="144"/>
      <c r="U122" s="615"/>
      <c r="V122" s="300"/>
      <c r="W122" s="300"/>
      <c r="X122" s="144"/>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598"/>
      <c r="AY122" s="598"/>
      <c r="AZ122" s="598"/>
      <c r="BA122" s="598"/>
      <c r="BB122" s="598"/>
      <c r="BC122" s="598"/>
      <c r="BD122" s="598"/>
      <c r="BE122" s="598"/>
      <c r="BF122" s="598"/>
      <c r="BG122" s="598"/>
      <c r="BH122" s="598"/>
      <c r="BI122" s="598"/>
      <c r="BJ122" s="598"/>
      <c r="BK122" s="598"/>
      <c r="BL122" s="598"/>
      <c r="BM122" s="598"/>
      <c r="BN122" s="598"/>
      <c r="BO122" s="598"/>
      <c r="BP122" s="598"/>
      <c r="BQ122" s="598"/>
      <c r="BR122" s="598"/>
      <c r="BS122" s="598"/>
      <c r="BT122" s="598"/>
      <c r="BU122" s="598"/>
      <c r="BV122" s="598"/>
      <c r="BW122" s="598"/>
      <c r="BX122" s="598"/>
      <c r="BY122" s="598"/>
      <c r="BZ122" s="598"/>
      <c r="CA122" s="598"/>
      <c r="CB122" s="598"/>
      <c r="CC122" s="598"/>
      <c r="CD122" s="598"/>
      <c r="CE122" s="598"/>
      <c r="CF122" s="598"/>
      <c r="CG122" s="598"/>
      <c r="CH122" s="598"/>
      <c r="CI122" s="598"/>
      <c r="CJ122" s="598"/>
      <c r="CK122" s="598"/>
      <c r="CL122" s="598"/>
      <c r="CM122" s="598"/>
      <c r="CN122" s="598"/>
      <c r="CO122" s="598"/>
      <c r="CP122" s="598"/>
      <c r="CQ122" s="598"/>
      <c r="CR122" s="598"/>
      <c r="CS122" s="598"/>
      <c r="CT122" s="598"/>
      <c r="CU122" s="598"/>
      <c r="CV122" s="598"/>
      <c r="CW122" s="598"/>
      <c r="CX122" s="598"/>
      <c r="CY122" s="598"/>
      <c r="CZ122" s="598"/>
      <c r="DA122" s="598"/>
      <c r="DB122" s="598"/>
      <c r="DC122" s="598"/>
      <c r="DD122" s="598"/>
      <c r="DE122" s="598"/>
      <c r="DF122" s="598"/>
      <c r="DG122" s="598"/>
      <c r="DH122" s="598"/>
      <c r="DI122" s="598"/>
      <c r="DJ122" s="598"/>
      <c r="DK122" s="598"/>
      <c r="DL122" s="598"/>
      <c r="DM122" s="598"/>
      <c r="DN122" s="598"/>
      <c r="DO122" s="598"/>
      <c r="DP122" s="598"/>
      <c r="DQ122" s="598"/>
      <c r="DR122" s="598"/>
      <c r="DS122" s="598"/>
      <c r="DT122" s="598"/>
      <c r="DU122" s="598"/>
      <c r="DV122" s="598"/>
      <c r="DW122" s="598"/>
      <c r="DX122" s="598"/>
      <c r="DY122" s="598"/>
      <c r="DZ122" s="598"/>
      <c r="EA122" s="598"/>
      <c r="EB122" s="598"/>
      <c r="EC122" s="598"/>
      <c r="ED122" s="598"/>
      <c r="EE122" s="598"/>
      <c r="EF122" s="598"/>
      <c r="EG122" s="598"/>
      <c r="EH122" s="598"/>
      <c r="EI122" s="598"/>
      <c r="EJ122" s="598"/>
      <c r="EK122" s="598"/>
      <c r="EL122" s="598"/>
      <c r="EM122" s="598"/>
      <c r="EN122" s="598"/>
      <c r="EO122" s="598"/>
      <c r="EP122" s="598"/>
      <c r="EQ122" s="598"/>
      <c r="ER122" s="598"/>
      <c r="ES122" s="598"/>
      <c r="ET122" s="598"/>
      <c r="EU122" s="598"/>
      <c r="EV122" s="598"/>
      <c r="EW122" s="598"/>
      <c r="EX122" s="598"/>
      <c r="EY122" s="598"/>
      <c r="EZ122" s="598"/>
      <c r="FA122" s="598"/>
      <c r="FB122" s="598"/>
      <c r="FC122" s="598"/>
      <c r="FD122" s="598"/>
      <c r="FE122" s="598"/>
      <c r="FF122" s="598"/>
      <c r="FG122" s="598"/>
      <c r="FH122" s="598"/>
      <c r="FI122" s="598"/>
      <c r="FJ122" s="598"/>
      <c r="FK122" s="598"/>
      <c r="FL122" s="598"/>
      <c r="FM122" s="598"/>
      <c r="FN122" s="598"/>
      <c r="FO122" s="598"/>
      <c r="FP122" s="598"/>
      <c r="FQ122" s="598"/>
      <c r="FR122" s="598"/>
      <c r="FS122" s="598"/>
      <c r="FT122" s="598"/>
      <c r="FU122" s="598"/>
      <c r="FV122" s="598"/>
      <c r="FW122" s="598"/>
      <c r="FX122" s="598"/>
      <c r="FY122" s="598"/>
      <c r="FZ122" s="598"/>
      <c r="GA122" s="598"/>
      <c r="GB122" s="598"/>
      <c r="GC122" s="598"/>
      <c r="GD122" s="598"/>
      <c r="GE122" s="598"/>
      <c r="GF122" s="598"/>
      <c r="GG122" s="598"/>
      <c r="GH122" s="598"/>
      <c r="GI122" s="598"/>
      <c r="GJ122" s="598"/>
      <c r="GK122" s="598"/>
      <c r="GL122" s="598"/>
      <c r="GM122" s="598"/>
      <c r="GN122" s="598"/>
      <c r="GO122" s="598"/>
      <c r="GP122" s="598"/>
      <c r="GQ122" s="598"/>
      <c r="GR122" s="598"/>
      <c r="GS122" s="598"/>
      <c r="GT122" s="598"/>
      <c r="GU122" s="598"/>
      <c r="GV122" s="598"/>
      <c r="GW122" s="598"/>
      <c r="GX122" s="598"/>
      <c r="GY122" s="598"/>
      <c r="GZ122" s="598"/>
      <c r="HA122" s="598"/>
      <c r="HB122" s="598"/>
      <c r="HC122" s="598"/>
      <c r="HD122" s="598"/>
      <c r="HE122" s="598"/>
      <c r="HF122" s="598"/>
      <c r="HG122" s="598"/>
      <c r="HH122" s="598"/>
      <c r="HI122" s="598"/>
      <c r="HJ122" s="598"/>
      <c r="HK122" s="598"/>
      <c r="HL122" s="598"/>
      <c r="HM122" s="598"/>
      <c r="HN122" s="598"/>
      <c r="HO122" s="598"/>
      <c r="HP122" s="598"/>
      <c r="HQ122" s="598"/>
      <c r="HR122" s="598"/>
      <c r="HS122" s="598"/>
      <c r="HT122" s="598"/>
      <c r="HU122" s="598"/>
      <c r="HV122" s="598"/>
      <c r="HW122" s="598"/>
      <c r="HX122" s="598"/>
      <c r="HY122" s="598"/>
      <c r="HZ122" s="598"/>
      <c r="IA122" s="598"/>
      <c r="IB122" s="598"/>
      <c r="IC122" s="598"/>
      <c r="ID122" s="598"/>
      <c r="IE122" s="598"/>
      <c r="IF122" s="598"/>
      <c r="IG122" s="598"/>
      <c r="IH122" s="598"/>
      <c r="II122" s="598"/>
      <c r="IJ122" s="598"/>
      <c r="IK122" s="598"/>
      <c r="IL122" s="598"/>
      <c r="IM122" s="598"/>
      <c r="IN122" s="598"/>
      <c r="IO122" s="598"/>
      <c r="IP122" s="598"/>
      <c r="IQ122" s="598"/>
      <c r="IR122" s="598"/>
      <c r="IS122" s="598"/>
      <c r="IT122" s="598"/>
      <c r="IU122" s="598"/>
      <c r="IV122" s="598"/>
    </row>
    <row r="123" spans="1:256" ht="16.5" customHeight="1">
      <c r="A123" s="1"/>
      <c r="B123" s="377"/>
      <c r="C123" s="608"/>
      <c r="D123" s="608"/>
      <c r="E123" s="1033" t="s">
        <v>249</v>
      </c>
      <c r="F123" s="556">
        <f>SUM(E117:E122)</f>
        <v>5</v>
      </c>
      <c r="G123" s="1034" t="s">
        <v>774</v>
      </c>
      <c r="H123" s="556">
        <f>SUM(P117:P122)-COUNTIF(E117:E122,S118)*2</f>
        <v>12</v>
      </c>
      <c r="I123" s="2516"/>
      <c r="J123" s="2516"/>
      <c r="K123" s="2517" t="s">
        <v>775</v>
      </c>
      <c r="L123" s="2517"/>
      <c r="M123" s="1035">
        <f>F123/H123</f>
        <v>0.41666666666666669</v>
      </c>
      <c r="N123" s="608"/>
      <c r="O123" s="142"/>
      <c r="P123" s="1023"/>
      <c r="Q123" s="142"/>
      <c r="R123" s="300"/>
      <c r="S123" s="144"/>
      <c r="T123" s="144"/>
      <c r="U123" s="1023"/>
      <c r="V123" s="300"/>
      <c r="W123" s="300"/>
      <c r="X123" s="144"/>
      <c r="Y123" s="1036"/>
      <c r="Z123" s="1036"/>
      <c r="AA123" s="1036"/>
      <c r="AB123" s="1036"/>
      <c r="AC123" s="1036"/>
      <c r="AD123" s="1036"/>
      <c r="AE123" s="1036"/>
      <c r="AF123" s="1036"/>
      <c r="AG123" s="1036"/>
      <c r="AH123" s="1036"/>
      <c r="AI123" s="1036"/>
      <c r="AJ123" s="1036"/>
      <c r="AK123" s="1036"/>
      <c r="AL123" s="1036"/>
      <c r="AM123" s="1036"/>
      <c r="AN123" s="1036"/>
      <c r="AO123" s="1036"/>
      <c r="AP123" s="1036"/>
      <c r="AQ123" s="1036"/>
      <c r="AR123" s="1036"/>
      <c r="AS123" s="1036"/>
      <c r="AT123" s="1036"/>
      <c r="AU123" s="1036"/>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6"/>
      <c r="BQ123" s="1036"/>
      <c r="BR123" s="1036"/>
      <c r="BS123" s="1036"/>
      <c r="BT123" s="1036"/>
      <c r="BU123" s="1036"/>
      <c r="BV123" s="1036"/>
      <c r="BW123" s="1036"/>
      <c r="BX123" s="1036"/>
      <c r="BY123" s="1036"/>
      <c r="BZ123" s="1036"/>
      <c r="CA123" s="1036"/>
      <c r="CB123" s="1036"/>
      <c r="CC123" s="1036"/>
      <c r="CD123" s="1036"/>
      <c r="CE123" s="1036"/>
      <c r="CF123" s="1036"/>
      <c r="CG123" s="1036"/>
      <c r="CH123" s="1036"/>
      <c r="CI123" s="1036"/>
      <c r="CJ123" s="1036"/>
      <c r="CK123" s="1036"/>
      <c r="CL123" s="1036"/>
      <c r="CM123" s="1036"/>
      <c r="CN123" s="1036"/>
      <c r="CO123" s="1036"/>
      <c r="CP123" s="1036"/>
      <c r="CQ123" s="1036"/>
      <c r="CR123" s="1036"/>
      <c r="CS123" s="1036"/>
      <c r="CT123" s="1036"/>
      <c r="CU123" s="1036"/>
      <c r="CV123" s="1036"/>
      <c r="CW123" s="1036"/>
      <c r="CX123" s="1036"/>
      <c r="CY123" s="1036"/>
      <c r="CZ123" s="1036"/>
      <c r="DA123" s="1036"/>
      <c r="DB123" s="1036"/>
      <c r="DC123" s="1036"/>
      <c r="DD123" s="1036"/>
      <c r="DE123" s="1036"/>
      <c r="DF123" s="1036"/>
      <c r="DG123" s="1036"/>
      <c r="DH123" s="1036"/>
      <c r="DI123" s="1036"/>
      <c r="DJ123" s="1036"/>
      <c r="DK123" s="1036"/>
      <c r="DL123" s="1036"/>
      <c r="DM123" s="1036"/>
      <c r="DN123" s="1036"/>
      <c r="DO123" s="1036"/>
      <c r="DP123" s="1036"/>
      <c r="DQ123" s="1036"/>
      <c r="DR123" s="1036"/>
      <c r="DS123" s="1036"/>
      <c r="DT123" s="1036"/>
      <c r="DU123" s="1036"/>
      <c r="DV123" s="1036"/>
      <c r="DW123" s="1036"/>
      <c r="DX123" s="1036"/>
      <c r="DY123" s="1036"/>
      <c r="DZ123" s="1036"/>
      <c r="EA123" s="1036"/>
      <c r="EB123" s="1036"/>
      <c r="EC123" s="1036"/>
      <c r="ED123" s="1036"/>
      <c r="EE123" s="1036"/>
      <c r="EF123" s="1036"/>
      <c r="EG123" s="1036"/>
      <c r="EH123" s="1036"/>
      <c r="EI123" s="1036"/>
      <c r="EJ123" s="1036"/>
      <c r="EK123" s="1036"/>
      <c r="EL123" s="1036"/>
      <c r="EM123" s="1036"/>
      <c r="EN123" s="1036"/>
      <c r="EO123" s="1036"/>
      <c r="EP123" s="1036"/>
      <c r="EQ123" s="1036"/>
      <c r="ER123" s="1036"/>
      <c r="ES123" s="1036"/>
      <c r="ET123" s="1036"/>
      <c r="EU123" s="1036"/>
      <c r="EV123" s="1036"/>
      <c r="EW123" s="1036"/>
      <c r="EX123" s="1036"/>
      <c r="EY123" s="1036"/>
      <c r="EZ123" s="1036"/>
      <c r="FA123" s="1036"/>
      <c r="FB123" s="1036"/>
      <c r="FC123" s="1036"/>
      <c r="FD123" s="1036"/>
      <c r="FE123" s="1036"/>
      <c r="FF123" s="1036"/>
      <c r="FG123" s="1036"/>
      <c r="FH123" s="1036"/>
      <c r="FI123" s="1036"/>
      <c r="FJ123" s="1036"/>
      <c r="FK123" s="1036"/>
      <c r="FL123" s="1036"/>
      <c r="FM123" s="1036"/>
      <c r="FN123" s="1036"/>
      <c r="FO123" s="1036"/>
      <c r="FP123" s="1036"/>
      <c r="FQ123" s="1036"/>
      <c r="FR123" s="1036"/>
      <c r="FS123" s="1036"/>
      <c r="FT123" s="1036"/>
      <c r="FU123" s="1036"/>
      <c r="FV123" s="1036"/>
      <c r="FW123" s="1036"/>
      <c r="FX123" s="1036"/>
      <c r="FY123" s="1036"/>
      <c r="FZ123" s="1036"/>
      <c r="GA123" s="1036"/>
      <c r="GB123" s="1036"/>
      <c r="GC123" s="1036"/>
      <c r="GD123" s="1036"/>
      <c r="GE123" s="1036"/>
      <c r="GF123" s="1036"/>
      <c r="GG123" s="1036"/>
      <c r="GH123" s="1036"/>
      <c r="GI123" s="1036"/>
      <c r="GJ123" s="1036"/>
      <c r="GK123" s="1036"/>
      <c r="GL123" s="1036"/>
      <c r="GM123" s="1036"/>
      <c r="GN123" s="1036"/>
      <c r="GO123" s="1036"/>
      <c r="GP123" s="1036"/>
      <c r="GQ123" s="1036"/>
      <c r="GR123" s="1036"/>
      <c r="GS123" s="1036"/>
      <c r="GT123" s="1036"/>
      <c r="GU123" s="1036"/>
      <c r="GV123" s="1036"/>
      <c r="GW123" s="1036"/>
      <c r="GX123" s="1036"/>
      <c r="GY123" s="1036"/>
      <c r="GZ123" s="1036"/>
      <c r="HA123" s="1036"/>
      <c r="HB123" s="1036"/>
      <c r="HC123" s="1036"/>
      <c r="HD123" s="1036"/>
      <c r="HE123" s="1036"/>
      <c r="HF123" s="1036"/>
      <c r="HG123" s="1036"/>
      <c r="HH123" s="1036"/>
      <c r="HI123" s="1036"/>
      <c r="HJ123" s="1036"/>
      <c r="HK123" s="1036"/>
      <c r="HL123" s="1036"/>
      <c r="HM123" s="1036"/>
      <c r="HN123" s="1036"/>
      <c r="HO123" s="1036"/>
      <c r="HP123" s="1036"/>
      <c r="HQ123" s="1036"/>
      <c r="HR123" s="1036"/>
      <c r="HS123" s="1036"/>
      <c r="HT123" s="1036"/>
      <c r="HU123" s="1036"/>
      <c r="HV123" s="1036"/>
      <c r="HW123" s="1036"/>
      <c r="HX123" s="1036"/>
      <c r="HY123" s="1036"/>
      <c r="HZ123" s="1036"/>
      <c r="IA123" s="1036"/>
      <c r="IB123" s="1036"/>
      <c r="IC123" s="1036"/>
      <c r="ID123" s="1036"/>
      <c r="IE123" s="1036"/>
      <c r="IF123" s="1036"/>
      <c r="IG123" s="1036"/>
      <c r="IH123" s="1036"/>
      <c r="II123" s="1036"/>
      <c r="IJ123" s="1036"/>
      <c r="IK123" s="1036"/>
      <c r="IL123" s="1036"/>
      <c r="IM123" s="1036"/>
      <c r="IN123" s="1036"/>
      <c r="IO123" s="1036"/>
      <c r="IP123" s="1036"/>
      <c r="IQ123" s="1036"/>
      <c r="IR123" s="1036"/>
      <c r="IS123" s="1036"/>
      <c r="IT123" s="1036"/>
      <c r="IU123" s="1036"/>
      <c r="IV123" s="1036"/>
    </row>
    <row r="124" spans="1:256" s="37" customFormat="1" ht="16.5" customHeight="1">
      <c r="A124" s="26"/>
      <c r="B124" s="627"/>
      <c r="C124" s="36"/>
      <c r="D124" s="36"/>
      <c r="E124" s="1058" t="s">
        <v>360</v>
      </c>
      <c r="F124" s="36"/>
      <c r="G124" s="36"/>
      <c r="H124" s="36"/>
      <c r="I124" s="36"/>
      <c r="J124" s="36"/>
      <c r="K124" s="36"/>
      <c r="L124" s="36"/>
      <c r="M124" s="36"/>
      <c r="N124" s="36"/>
      <c r="O124" s="142"/>
      <c r="P124" s="1861"/>
      <c r="Q124" s="142"/>
      <c r="R124" s="144"/>
      <c r="S124" s="144"/>
      <c r="T124" s="144"/>
      <c r="U124" s="1861"/>
      <c r="V124" s="144"/>
      <c r="W124" s="144"/>
      <c r="X124" s="144"/>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598"/>
      <c r="AY124" s="598"/>
      <c r="AZ124" s="598"/>
      <c r="BA124" s="598"/>
      <c r="BB124" s="598"/>
      <c r="BC124" s="598"/>
      <c r="BD124" s="598"/>
      <c r="BE124" s="598"/>
      <c r="BF124" s="598"/>
      <c r="BG124" s="598"/>
      <c r="BH124" s="598"/>
      <c r="BI124" s="598"/>
      <c r="BJ124" s="598"/>
      <c r="BK124" s="598"/>
      <c r="BL124" s="598"/>
      <c r="BM124" s="598"/>
      <c r="BN124" s="598"/>
      <c r="BO124" s="598"/>
      <c r="BP124" s="598"/>
      <c r="BQ124" s="598"/>
      <c r="BR124" s="598"/>
      <c r="BS124" s="598"/>
      <c r="BT124" s="598"/>
      <c r="BU124" s="598"/>
      <c r="BV124" s="598"/>
      <c r="BW124" s="598"/>
      <c r="BX124" s="598"/>
      <c r="BY124" s="598"/>
      <c r="BZ124" s="598"/>
      <c r="CA124" s="598"/>
      <c r="CB124" s="598"/>
      <c r="CC124" s="598"/>
      <c r="CD124" s="598"/>
      <c r="CE124" s="598"/>
      <c r="CF124" s="598"/>
      <c r="CG124" s="598"/>
      <c r="CH124" s="598"/>
      <c r="CI124" s="598"/>
      <c r="CJ124" s="598"/>
      <c r="CK124" s="598"/>
      <c r="CL124" s="598"/>
      <c r="CM124" s="598"/>
      <c r="CN124" s="598"/>
      <c r="CO124" s="598"/>
      <c r="CP124" s="598"/>
      <c r="CQ124" s="598"/>
      <c r="CR124" s="598"/>
      <c r="CS124" s="598"/>
      <c r="CT124" s="598"/>
      <c r="CU124" s="598"/>
      <c r="CV124" s="598"/>
      <c r="CW124" s="598"/>
      <c r="CX124" s="598"/>
      <c r="CY124" s="598"/>
      <c r="CZ124" s="598"/>
      <c r="DA124" s="598"/>
      <c r="DB124" s="598"/>
      <c r="DC124" s="598"/>
      <c r="DD124" s="598"/>
      <c r="DE124" s="598"/>
      <c r="DF124" s="598"/>
      <c r="DG124" s="598"/>
      <c r="DH124" s="598"/>
      <c r="DI124" s="598"/>
      <c r="DJ124" s="598"/>
      <c r="DK124" s="598"/>
      <c r="DL124" s="598"/>
      <c r="DM124" s="598"/>
      <c r="DN124" s="598"/>
      <c r="DO124" s="598"/>
      <c r="DP124" s="598"/>
      <c r="DQ124" s="598"/>
      <c r="DR124" s="598"/>
      <c r="DS124" s="598"/>
      <c r="DT124" s="598"/>
      <c r="DU124" s="598"/>
      <c r="DV124" s="598"/>
      <c r="DW124" s="598"/>
      <c r="DX124" s="598"/>
      <c r="DY124" s="598"/>
      <c r="DZ124" s="598"/>
      <c r="EA124" s="598"/>
      <c r="EB124" s="598"/>
      <c r="EC124" s="598"/>
      <c r="ED124" s="598"/>
      <c r="EE124" s="598"/>
      <c r="EF124" s="598"/>
      <c r="EG124" s="598"/>
      <c r="EH124" s="598"/>
      <c r="EI124" s="598"/>
      <c r="EJ124" s="598"/>
      <c r="EK124" s="598"/>
      <c r="EL124" s="598"/>
      <c r="EM124" s="598"/>
      <c r="EN124" s="598"/>
      <c r="EO124" s="598"/>
      <c r="EP124" s="598"/>
      <c r="EQ124" s="598"/>
      <c r="ER124" s="598"/>
      <c r="ES124" s="598"/>
      <c r="ET124" s="598"/>
      <c r="EU124" s="598"/>
      <c r="EV124" s="598"/>
      <c r="EW124" s="598"/>
      <c r="EX124" s="598"/>
      <c r="EY124" s="598"/>
      <c r="EZ124" s="598"/>
      <c r="FA124" s="598"/>
      <c r="FB124" s="598"/>
      <c r="FC124" s="598"/>
      <c r="FD124" s="598"/>
      <c r="FE124" s="598"/>
      <c r="FF124" s="598"/>
      <c r="FG124" s="598"/>
      <c r="FH124" s="598"/>
      <c r="FI124" s="598"/>
      <c r="FJ124" s="598"/>
      <c r="FK124" s="598"/>
      <c r="FL124" s="598"/>
      <c r="FM124" s="598"/>
      <c r="FN124" s="598"/>
      <c r="FO124" s="598"/>
      <c r="FP124" s="598"/>
      <c r="FQ124" s="598"/>
      <c r="FR124" s="598"/>
      <c r="FS124" s="598"/>
      <c r="FT124" s="598"/>
      <c r="FU124" s="598"/>
      <c r="FV124" s="598"/>
      <c r="FW124" s="598"/>
      <c r="FX124" s="598"/>
      <c r="FY124" s="598"/>
      <c r="FZ124" s="598"/>
      <c r="GA124" s="598"/>
      <c r="GB124" s="598"/>
      <c r="GC124" s="598"/>
      <c r="GD124" s="598"/>
      <c r="GE124" s="598"/>
      <c r="GF124" s="598"/>
      <c r="GG124" s="598"/>
      <c r="GH124" s="598"/>
      <c r="GI124" s="598"/>
      <c r="GJ124" s="598"/>
      <c r="GK124" s="598"/>
      <c r="GL124" s="598"/>
      <c r="GM124" s="598"/>
      <c r="GN124" s="598"/>
      <c r="GO124" s="598"/>
      <c r="GP124" s="598"/>
      <c r="GQ124" s="598"/>
      <c r="GR124" s="598"/>
      <c r="GS124" s="598"/>
      <c r="GT124" s="598"/>
      <c r="GU124" s="598"/>
      <c r="GV124" s="598"/>
      <c r="GW124" s="598"/>
      <c r="GX124" s="598"/>
      <c r="GY124" s="598"/>
      <c r="GZ124" s="598"/>
      <c r="HA124" s="598"/>
      <c r="HB124" s="598"/>
      <c r="HC124" s="598"/>
      <c r="HD124" s="598"/>
      <c r="HE124" s="598"/>
      <c r="HF124" s="598"/>
      <c r="HG124" s="598"/>
      <c r="HH124" s="598"/>
      <c r="HI124" s="598"/>
      <c r="HJ124" s="598"/>
      <c r="HK124" s="598"/>
      <c r="HL124" s="598"/>
      <c r="HM124" s="598"/>
      <c r="HN124" s="598"/>
      <c r="HO124" s="598"/>
      <c r="HP124" s="598"/>
      <c r="HQ124" s="598"/>
      <c r="HR124" s="598"/>
      <c r="HS124" s="598"/>
      <c r="HT124" s="598"/>
      <c r="HU124" s="598"/>
      <c r="HV124" s="598"/>
      <c r="HW124" s="598"/>
      <c r="HX124" s="598"/>
      <c r="HY124" s="598"/>
      <c r="HZ124" s="598"/>
      <c r="IA124" s="598"/>
      <c r="IB124" s="598"/>
      <c r="IC124" s="598"/>
      <c r="ID124" s="598"/>
      <c r="IE124" s="598"/>
      <c r="IF124" s="598"/>
      <c r="IG124" s="598"/>
      <c r="IH124" s="598"/>
      <c r="II124" s="598"/>
      <c r="IJ124" s="598"/>
      <c r="IK124" s="598"/>
      <c r="IL124" s="598"/>
      <c r="IM124" s="598"/>
      <c r="IN124" s="598"/>
      <c r="IO124" s="598"/>
      <c r="IP124" s="598"/>
      <c r="IQ124" s="598"/>
      <c r="IR124" s="598"/>
      <c r="IS124" s="598"/>
      <c r="IT124" s="598"/>
      <c r="IU124" s="598"/>
      <c r="IV124" s="598"/>
    </row>
    <row r="125" spans="1:256" s="37" customFormat="1" ht="16.5" customHeight="1" thickBot="1">
      <c r="A125" s="26"/>
      <c r="B125" s="627"/>
      <c r="C125" s="36"/>
      <c r="D125" s="36"/>
      <c r="E125" s="1901" t="s">
        <v>1018</v>
      </c>
      <c r="F125" s="165" t="s">
        <v>1079</v>
      </c>
      <c r="G125" s="2426" t="s">
        <v>239</v>
      </c>
      <c r="H125" s="2453"/>
      <c r="I125" s="2453"/>
      <c r="J125" s="2453"/>
      <c r="K125" s="2453"/>
      <c r="L125" s="2454"/>
      <c r="M125" s="165" t="s">
        <v>1080</v>
      </c>
      <c r="N125" s="36"/>
      <c r="O125" s="142"/>
      <c r="P125" s="1861"/>
      <c r="Q125" s="142"/>
      <c r="R125" s="144"/>
      <c r="S125" s="144"/>
      <c r="T125" s="144"/>
      <c r="U125" s="1861"/>
      <c r="V125" s="144"/>
      <c r="W125" s="144"/>
      <c r="X125" s="144"/>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598"/>
      <c r="AY125" s="598"/>
      <c r="AZ125" s="598"/>
      <c r="BA125" s="598"/>
      <c r="BB125" s="598"/>
      <c r="BC125" s="598"/>
      <c r="BD125" s="598"/>
      <c r="BE125" s="598"/>
      <c r="BF125" s="598"/>
      <c r="BG125" s="598"/>
      <c r="BH125" s="598"/>
      <c r="BI125" s="598"/>
      <c r="BJ125" s="598"/>
      <c r="BK125" s="598"/>
      <c r="BL125" s="598"/>
      <c r="BM125" s="598"/>
      <c r="BN125" s="598"/>
      <c r="BO125" s="598"/>
      <c r="BP125" s="598"/>
      <c r="BQ125" s="598"/>
      <c r="BR125" s="598"/>
      <c r="BS125" s="598"/>
      <c r="BT125" s="598"/>
      <c r="BU125" s="598"/>
      <c r="BV125" s="598"/>
      <c r="BW125" s="598"/>
      <c r="BX125" s="598"/>
      <c r="BY125" s="598"/>
      <c r="BZ125" s="598"/>
      <c r="CA125" s="598"/>
      <c r="CB125" s="598"/>
      <c r="CC125" s="598"/>
      <c r="CD125" s="598"/>
      <c r="CE125" s="598"/>
      <c r="CF125" s="598"/>
      <c r="CG125" s="598"/>
      <c r="CH125" s="598"/>
      <c r="CI125" s="598"/>
      <c r="CJ125" s="598"/>
      <c r="CK125" s="598"/>
      <c r="CL125" s="598"/>
      <c r="CM125" s="598"/>
      <c r="CN125" s="598"/>
      <c r="CO125" s="598"/>
      <c r="CP125" s="598"/>
      <c r="CQ125" s="598"/>
      <c r="CR125" s="598"/>
      <c r="CS125" s="598"/>
      <c r="CT125" s="598"/>
      <c r="CU125" s="598"/>
      <c r="CV125" s="598"/>
      <c r="CW125" s="598"/>
      <c r="CX125" s="598"/>
      <c r="CY125" s="598"/>
      <c r="CZ125" s="598"/>
      <c r="DA125" s="598"/>
      <c r="DB125" s="598"/>
      <c r="DC125" s="598"/>
      <c r="DD125" s="598"/>
      <c r="DE125" s="598"/>
      <c r="DF125" s="598"/>
      <c r="DG125" s="598"/>
      <c r="DH125" s="598"/>
      <c r="DI125" s="598"/>
      <c r="DJ125" s="598"/>
      <c r="DK125" s="598"/>
      <c r="DL125" s="598"/>
      <c r="DM125" s="598"/>
      <c r="DN125" s="598"/>
      <c r="DO125" s="598"/>
      <c r="DP125" s="598"/>
      <c r="DQ125" s="598"/>
      <c r="DR125" s="598"/>
      <c r="DS125" s="598"/>
      <c r="DT125" s="598"/>
      <c r="DU125" s="598"/>
      <c r="DV125" s="598"/>
      <c r="DW125" s="598"/>
      <c r="DX125" s="598"/>
      <c r="DY125" s="598"/>
      <c r="DZ125" s="598"/>
      <c r="EA125" s="598"/>
      <c r="EB125" s="598"/>
      <c r="EC125" s="598"/>
      <c r="ED125" s="598"/>
      <c r="EE125" s="598"/>
      <c r="EF125" s="598"/>
      <c r="EG125" s="598"/>
      <c r="EH125" s="598"/>
      <c r="EI125" s="598"/>
      <c r="EJ125" s="598"/>
      <c r="EK125" s="598"/>
      <c r="EL125" s="598"/>
      <c r="EM125" s="598"/>
      <c r="EN125" s="598"/>
      <c r="EO125" s="598"/>
      <c r="EP125" s="598"/>
      <c r="EQ125" s="598"/>
      <c r="ER125" s="598"/>
      <c r="ES125" s="598"/>
      <c r="ET125" s="598"/>
      <c r="EU125" s="598"/>
      <c r="EV125" s="598"/>
      <c r="EW125" s="598"/>
      <c r="EX125" s="598"/>
      <c r="EY125" s="598"/>
      <c r="EZ125" s="598"/>
      <c r="FA125" s="598"/>
      <c r="FB125" s="598"/>
      <c r="FC125" s="598"/>
      <c r="FD125" s="598"/>
      <c r="FE125" s="598"/>
      <c r="FF125" s="598"/>
      <c r="FG125" s="598"/>
      <c r="FH125" s="598"/>
      <c r="FI125" s="598"/>
      <c r="FJ125" s="598"/>
      <c r="FK125" s="598"/>
      <c r="FL125" s="598"/>
      <c r="FM125" s="598"/>
      <c r="FN125" s="598"/>
      <c r="FO125" s="598"/>
      <c r="FP125" s="598"/>
      <c r="FQ125" s="598"/>
      <c r="FR125" s="598"/>
      <c r="FS125" s="598"/>
      <c r="FT125" s="598"/>
      <c r="FU125" s="598"/>
      <c r="FV125" s="598"/>
      <c r="FW125" s="598"/>
      <c r="FX125" s="598"/>
      <c r="FY125" s="598"/>
      <c r="FZ125" s="598"/>
      <c r="GA125" s="598"/>
      <c r="GB125" s="598"/>
      <c r="GC125" s="598"/>
      <c r="GD125" s="598"/>
      <c r="GE125" s="598"/>
      <c r="GF125" s="598"/>
      <c r="GG125" s="598"/>
      <c r="GH125" s="598"/>
      <c r="GI125" s="598"/>
      <c r="GJ125" s="598"/>
      <c r="GK125" s="598"/>
      <c r="GL125" s="598"/>
      <c r="GM125" s="598"/>
      <c r="GN125" s="598"/>
      <c r="GO125" s="598"/>
      <c r="GP125" s="598"/>
      <c r="GQ125" s="598"/>
      <c r="GR125" s="598"/>
      <c r="GS125" s="598"/>
      <c r="GT125" s="598"/>
      <c r="GU125" s="598"/>
      <c r="GV125" s="598"/>
      <c r="GW125" s="598"/>
      <c r="GX125" s="598"/>
      <c r="GY125" s="598"/>
      <c r="GZ125" s="598"/>
      <c r="HA125" s="598"/>
      <c r="HB125" s="598"/>
      <c r="HC125" s="598"/>
      <c r="HD125" s="598"/>
      <c r="HE125" s="598"/>
      <c r="HF125" s="598"/>
      <c r="HG125" s="598"/>
      <c r="HH125" s="598"/>
      <c r="HI125" s="598"/>
      <c r="HJ125" s="598"/>
      <c r="HK125" s="598"/>
      <c r="HL125" s="598"/>
      <c r="HM125" s="598"/>
      <c r="HN125" s="598"/>
      <c r="HO125" s="598"/>
      <c r="HP125" s="598"/>
      <c r="HQ125" s="598"/>
      <c r="HR125" s="598"/>
      <c r="HS125" s="598"/>
      <c r="HT125" s="598"/>
      <c r="HU125" s="598"/>
      <c r="HV125" s="598"/>
      <c r="HW125" s="598"/>
      <c r="HX125" s="598"/>
      <c r="HY125" s="598"/>
      <c r="HZ125" s="598"/>
      <c r="IA125" s="598"/>
      <c r="IB125" s="598"/>
      <c r="IC125" s="598"/>
      <c r="ID125" s="598"/>
      <c r="IE125" s="598"/>
      <c r="IF125" s="598"/>
      <c r="IG125" s="598"/>
      <c r="IH125" s="598"/>
      <c r="II125" s="598"/>
      <c r="IJ125" s="598"/>
      <c r="IK125" s="598"/>
      <c r="IL125" s="598"/>
      <c r="IM125" s="598"/>
      <c r="IN125" s="598"/>
      <c r="IO125" s="598"/>
      <c r="IP125" s="598"/>
      <c r="IQ125" s="598"/>
      <c r="IR125" s="598"/>
      <c r="IS125" s="598"/>
      <c r="IT125" s="598"/>
      <c r="IU125" s="598"/>
      <c r="IV125" s="598"/>
    </row>
    <row r="126" spans="1:256" s="37" customFormat="1" ht="25.5" customHeight="1">
      <c r="A126" s="26"/>
      <c r="B126" s="164"/>
      <c r="C126" s="34"/>
      <c r="D126" s="38"/>
      <c r="E126" s="1902" t="s">
        <v>1002</v>
      </c>
      <c r="F126" s="1909" t="s">
        <v>1086</v>
      </c>
      <c r="G126" s="2462" t="s">
        <v>1087</v>
      </c>
      <c r="H126" s="2518"/>
      <c r="I126" s="2518"/>
      <c r="J126" s="2518"/>
      <c r="K126" s="2518"/>
      <c r="L126" s="2519"/>
      <c r="M126" s="1790">
        <v>1</v>
      </c>
      <c r="N126" s="51"/>
      <c r="P126" s="1861"/>
      <c r="T126" s="598"/>
      <c r="U126" s="1861"/>
    </row>
    <row r="127" spans="1:256" s="37" customFormat="1" ht="25.5" customHeight="1" thickBot="1">
      <c r="A127" s="26"/>
      <c r="B127" s="164"/>
      <c r="C127" s="34"/>
      <c r="D127" s="38"/>
      <c r="E127" s="1905" t="s">
        <v>1002</v>
      </c>
      <c r="F127" s="1910" t="s">
        <v>1088</v>
      </c>
      <c r="G127" s="2414" t="s">
        <v>1089</v>
      </c>
      <c r="H127" s="2415"/>
      <c r="I127" s="2415"/>
      <c r="J127" s="2415"/>
      <c r="K127" s="2415"/>
      <c r="L127" s="2416"/>
      <c r="M127" s="576">
        <v>2</v>
      </c>
      <c r="N127" s="51"/>
      <c r="P127" s="1861"/>
      <c r="T127" s="598"/>
      <c r="U127" s="1861"/>
    </row>
    <row r="128" spans="1:256" s="37" customFormat="1" ht="16.5" customHeight="1">
      <c r="A128" s="26"/>
      <c r="B128" s="164"/>
      <c r="C128" s="34"/>
      <c r="D128" s="38"/>
      <c r="E128" s="1908"/>
      <c r="F128" s="528"/>
      <c r="G128" s="528"/>
      <c r="H128" s="528"/>
      <c r="I128" s="528"/>
      <c r="J128" s="528"/>
      <c r="K128" s="528" t="s">
        <v>377</v>
      </c>
      <c r="L128" s="1057">
        <f>IF(E126="○",1)+IF(E127="○",2)</f>
        <v>0</v>
      </c>
      <c r="M128" s="527" t="s">
        <v>1016</v>
      </c>
      <c r="N128" s="51"/>
      <c r="P128" s="1861"/>
      <c r="T128" s="598"/>
      <c r="U128" s="1861"/>
    </row>
    <row r="129" spans="1:256" s="144" customFormat="1" ht="8.25" customHeight="1">
      <c r="A129" s="51"/>
      <c r="B129" s="164"/>
      <c r="C129" s="607"/>
      <c r="D129" s="1896"/>
      <c r="E129" s="1896"/>
      <c r="F129" s="26"/>
      <c r="G129" s="26"/>
      <c r="H129" s="26"/>
      <c r="I129" s="26"/>
      <c r="J129" s="26"/>
      <c r="K129" s="26"/>
      <c r="L129" s="26"/>
      <c r="M129" s="26"/>
      <c r="N129" s="150"/>
      <c r="P129" s="1897" t="s">
        <v>1063</v>
      </c>
      <c r="Q129" s="1862" t="s">
        <v>82</v>
      </c>
      <c r="R129" s="37"/>
      <c r="S129" s="37"/>
    </row>
    <row r="130" spans="1:256" s="144" customFormat="1" ht="21" customHeight="1">
      <c r="A130" s="51"/>
      <c r="B130" s="164"/>
      <c r="C130" s="607"/>
      <c r="E130" s="781" t="s">
        <v>3</v>
      </c>
      <c r="F130" s="782"/>
      <c r="G130" s="1201"/>
      <c r="H130" s="1201"/>
      <c r="I130" s="2388"/>
      <c r="J130" s="2389"/>
      <c r="K130" s="2389"/>
      <c r="L130" s="2389"/>
      <c r="M130" s="2390"/>
      <c r="N130" s="150"/>
      <c r="P130" s="615"/>
      <c r="Q130" s="324"/>
      <c r="R130" s="4"/>
      <c r="S130" s="4"/>
      <c r="T130" s="132"/>
      <c r="U130" s="615"/>
      <c r="V130" s="132"/>
      <c r="W130" s="132"/>
      <c r="X130" s="132"/>
      <c r="Y130" s="132"/>
    </row>
    <row r="131" spans="1:256" s="144" customFormat="1" ht="16.5" customHeight="1" thickBot="1">
      <c r="A131" s="51"/>
      <c r="B131" s="164"/>
      <c r="C131" s="607"/>
      <c r="E131" s="152" t="s">
        <v>1077</v>
      </c>
      <c r="F131" s="417"/>
      <c r="G131" s="417"/>
      <c r="H131" s="417"/>
      <c r="I131" s="1786"/>
      <c r="J131" s="1860"/>
      <c r="K131" s="1860"/>
      <c r="L131" s="1860"/>
      <c r="M131" s="1860"/>
      <c r="N131" s="150"/>
      <c r="P131" s="1861"/>
      <c r="Q131" s="1862"/>
      <c r="R131" s="37"/>
      <c r="S131" s="37"/>
      <c r="U131" s="1861"/>
    </row>
    <row r="132" spans="1:256" s="144" customFormat="1" ht="21" customHeight="1" thickBot="1">
      <c r="A132" s="51"/>
      <c r="B132" s="164"/>
      <c r="C132" s="607"/>
      <c r="E132" s="1863" t="s">
        <v>1002</v>
      </c>
      <c r="F132" s="2520" t="s">
        <v>1085</v>
      </c>
      <c r="G132" s="2521"/>
      <c r="H132" s="2521"/>
      <c r="I132" s="2521"/>
      <c r="J132" s="2521"/>
      <c r="K132" s="2521"/>
      <c r="L132" s="2521"/>
      <c r="M132" s="2468"/>
      <c r="N132" s="150"/>
      <c r="P132" s="1861"/>
      <c r="Q132" s="1862"/>
      <c r="R132" s="37"/>
      <c r="S132" s="37"/>
      <c r="U132" s="1861"/>
    </row>
    <row r="133" spans="1:256" ht="14.25" customHeight="1">
      <c r="A133" s="1"/>
      <c r="B133" s="627"/>
      <c r="C133" s="36"/>
      <c r="D133" s="36"/>
      <c r="E133" s="36"/>
      <c r="F133" s="36"/>
      <c r="G133" s="36"/>
      <c r="H133" s="36"/>
      <c r="I133" s="36"/>
      <c r="J133" s="36"/>
      <c r="K133" s="36"/>
      <c r="L133" s="36"/>
      <c r="M133" s="36"/>
      <c r="N133" s="36"/>
      <c r="O133" s="142"/>
      <c r="P133" s="615"/>
      <c r="Q133" s="142"/>
      <c r="R133" s="300"/>
      <c r="S133" s="144"/>
      <c r="T133" s="144"/>
      <c r="U133" s="615"/>
      <c r="V133" s="300"/>
      <c r="W133" s="300"/>
      <c r="X133" s="144"/>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8"/>
      <c r="AY133" s="598"/>
      <c r="AZ133" s="598"/>
      <c r="BA133" s="598"/>
      <c r="BB133" s="598"/>
      <c r="BC133" s="598"/>
      <c r="BD133" s="598"/>
      <c r="BE133" s="598"/>
      <c r="BF133" s="598"/>
      <c r="BG133" s="598"/>
      <c r="BH133" s="598"/>
      <c r="BI133" s="598"/>
      <c r="BJ133" s="598"/>
      <c r="BK133" s="598"/>
      <c r="BL133" s="598"/>
      <c r="BM133" s="598"/>
      <c r="BN133" s="598"/>
      <c r="BO133" s="598"/>
      <c r="BP133" s="598"/>
      <c r="BQ133" s="598"/>
      <c r="BR133" s="598"/>
      <c r="BS133" s="598"/>
      <c r="BT133" s="598"/>
      <c r="BU133" s="598"/>
      <c r="BV133" s="598"/>
      <c r="BW133" s="598"/>
      <c r="BX133" s="598"/>
      <c r="BY133" s="598"/>
      <c r="BZ133" s="598"/>
      <c r="CA133" s="598"/>
      <c r="CB133" s="598"/>
      <c r="CC133" s="598"/>
      <c r="CD133" s="598"/>
      <c r="CE133" s="598"/>
      <c r="CF133" s="598"/>
      <c r="CG133" s="598"/>
      <c r="CH133" s="598"/>
      <c r="CI133" s="598"/>
      <c r="CJ133" s="598"/>
      <c r="CK133" s="598"/>
      <c r="CL133" s="598"/>
      <c r="CM133" s="598"/>
      <c r="CN133" s="598"/>
      <c r="CO133" s="598"/>
      <c r="CP133" s="598"/>
      <c r="CQ133" s="598"/>
      <c r="CR133" s="598"/>
      <c r="CS133" s="598"/>
      <c r="CT133" s="598"/>
      <c r="CU133" s="598"/>
      <c r="CV133" s="598"/>
      <c r="CW133" s="598"/>
      <c r="CX133" s="598"/>
      <c r="CY133" s="598"/>
      <c r="CZ133" s="598"/>
      <c r="DA133" s="598"/>
      <c r="DB133" s="598"/>
      <c r="DC133" s="598"/>
      <c r="DD133" s="598"/>
      <c r="DE133" s="598"/>
      <c r="DF133" s="598"/>
      <c r="DG133" s="598"/>
      <c r="DH133" s="598"/>
      <c r="DI133" s="598"/>
      <c r="DJ133" s="598"/>
      <c r="DK133" s="598"/>
      <c r="DL133" s="598"/>
      <c r="DM133" s="598"/>
      <c r="DN133" s="598"/>
      <c r="DO133" s="598"/>
      <c r="DP133" s="598"/>
      <c r="DQ133" s="598"/>
      <c r="DR133" s="598"/>
      <c r="DS133" s="598"/>
      <c r="DT133" s="598"/>
      <c r="DU133" s="598"/>
      <c r="DV133" s="598"/>
      <c r="DW133" s="598"/>
      <c r="DX133" s="598"/>
      <c r="DY133" s="598"/>
      <c r="DZ133" s="598"/>
      <c r="EA133" s="598"/>
      <c r="EB133" s="598"/>
      <c r="EC133" s="598"/>
      <c r="ED133" s="598"/>
      <c r="EE133" s="598"/>
      <c r="EF133" s="598"/>
      <c r="EG133" s="598"/>
      <c r="EH133" s="598"/>
      <c r="EI133" s="598"/>
      <c r="EJ133" s="598"/>
      <c r="EK133" s="598"/>
      <c r="EL133" s="598"/>
      <c r="EM133" s="598"/>
      <c r="EN133" s="598"/>
      <c r="EO133" s="598"/>
      <c r="EP133" s="598"/>
      <c r="EQ133" s="598"/>
      <c r="ER133" s="598"/>
      <c r="ES133" s="598"/>
      <c r="ET133" s="598"/>
      <c r="EU133" s="598"/>
      <c r="EV133" s="598"/>
      <c r="EW133" s="598"/>
      <c r="EX133" s="598"/>
      <c r="EY133" s="598"/>
      <c r="EZ133" s="598"/>
      <c r="FA133" s="598"/>
      <c r="FB133" s="598"/>
      <c r="FC133" s="598"/>
      <c r="FD133" s="598"/>
      <c r="FE133" s="598"/>
      <c r="FF133" s="598"/>
      <c r="FG133" s="598"/>
      <c r="FH133" s="598"/>
      <c r="FI133" s="598"/>
      <c r="FJ133" s="598"/>
      <c r="FK133" s="598"/>
      <c r="FL133" s="598"/>
      <c r="FM133" s="598"/>
      <c r="FN133" s="598"/>
      <c r="FO133" s="598"/>
      <c r="FP133" s="598"/>
      <c r="FQ133" s="598"/>
      <c r="FR133" s="598"/>
      <c r="FS133" s="598"/>
      <c r="FT133" s="598"/>
      <c r="FU133" s="598"/>
      <c r="FV133" s="598"/>
      <c r="FW133" s="598"/>
      <c r="FX133" s="598"/>
      <c r="FY133" s="598"/>
      <c r="FZ133" s="598"/>
      <c r="GA133" s="598"/>
      <c r="GB133" s="598"/>
      <c r="GC133" s="598"/>
      <c r="GD133" s="598"/>
      <c r="GE133" s="598"/>
      <c r="GF133" s="598"/>
      <c r="GG133" s="598"/>
      <c r="GH133" s="598"/>
      <c r="GI133" s="598"/>
      <c r="GJ133" s="598"/>
      <c r="GK133" s="598"/>
      <c r="GL133" s="598"/>
      <c r="GM133" s="598"/>
      <c r="GN133" s="598"/>
      <c r="GO133" s="598"/>
      <c r="GP133" s="598"/>
      <c r="GQ133" s="598"/>
      <c r="GR133" s="598"/>
      <c r="GS133" s="598"/>
      <c r="GT133" s="598"/>
      <c r="GU133" s="598"/>
      <c r="GV133" s="598"/>
      <c r="GW133" s="598"/>
      <c r="GX133" s="598"/>
      <c r="GY133" s="598"/>
      <c r="GZ133" s="598"/>
      <c r="HA133" s="598"/>
      <c r="HB133" s="598"/>
      <c r="HC133" s="598"/>
      <c r="HD133" s="598"/>
      <c r="HE133" s="598"/>
      <c r="HF133" s="598"/>
      <c r="HG133" s="598"/>
      <c r="HH133" s="598"/>
      <c r="HI133" s="598"/>
      <c r="HJ133" s="598"/>
      <c r="HK133" s="598"/>
      <c r="HL133" s="598"/>
      <c r="HM133" s="598"/>
      <c r="HN133" s="598"/>
      <c r="HO133" s="598"/>
      <c r="HP133" s="598"/>
      <c r="HQ133" s="598"/>
      <c r="HR133" s="598"/>
      <c r="HS133" s="598"/>
      <c r="HT133" s="598"/>
      <c r="HU133" s="598"/>
      <c r="HV133" s="598"/>
      <c r="HW133" s="598"/>
      <c r="HX133" s="598"/>
      <c r="HY133" s="598"/>
      <c r="HZ133" s="598"/>
      <c r="IA133" s="598"/>
      <c r="IB133" s="598"/>
      <c r="IC133" s="598"/>
      <c r="ID133" s="598"/>
      <c r="IE133" s="598"/>
      <c r="IF133" s="598"/>
      <c r="IG133" s="598"/>
      <c r="IH133" s="598"/>
      <c r="II133" s="598"/>
      <c r="IJ133" s="598"/>
      <c r="IK133" s="598"/>
      <c r="IL133" s="598"/>
      <c r="IM133" s="598"/>
      <c r="IN133" s="598"/>
      <c r="IO133" s="598"/>
      <c r="IP133" s="598"/>
      <c r="IQ133" s="598"/>
      <c r="IR133" s="598"/>
      <c r="IS133" s="598"/>
      <c r="IT133" s="598"/>
      <c r="IU133" s="598"/>
      <c r="IV133" s="598"/>
    </row>
    <row r="134" spans="1:256" s="327" customFormat="1" ht="14.25" customHeight="1">
      <c r="A134" s="22"/>
      <c r="B134" s="1061">
        <v>1.5</v>
      </c>
      <c r="C134" s="147" t="s">
        <v>515</v>
      </c>
      <c r="D134" s="147"/>
      <c r="E134" s="150"/>
      <c r="F134" s="310"/>
      <c r="G134" s="150"/>
      <c r="H134" s="150"/>
      <c r="I134" s="36"/>
      <c r="J134" s="36"/>
      <c r="K134" s="36"/>
      <c r="L134" s="36"/>
      <c r="M134" s="36"/>
      <c r="N134" s="22"/>
      <c r="O134" s="132"/>
      <c r="T134" s="132"/>
      <c r="V134" s="132"/>
      <c r="W134" s="132"/>
      <c r="X134" s="132"/>
      <c r="Y134" s="132"/>
    </row>
    <row r="135" spans="1:256" ht="16.5" customHeight="1" thickBot="1">
      <c r="A135" s="1"/>
      <c r="B135" s="627"/>
      <c r="C135" s="36"/>
      <c r="D135" s="135"/>
      <c r="E135" s="147"/>
      <c r="F135" s="150"/>
      <c r="G135" s="5"/>
      <c r="H135" s="5"/>
      <c r="I135" s="36"/>
      <c r="J135" s="36"/>
      <c r="K135" s="36"/>
      <c r="L135" s="176" t="s">
        <v>2</v>
      </c>
      <c r="M135" s="173">
        <f>重み!M71</f>
        <v>0.1</v>
      </c>
      <c r="N135" s="1"/>
      <c r="O135" s="144">
        <f>C135</f>
        <v>0</v>
      </c>
      <c r="P135" s="144">
        <f>D135</f>
        <v>0</v>
      </c>
      <c r="Q135" s="144">
        <f>E135</f>
        <v>0</v>
      </c>
      <c r="R135" s="144">
        <f>F135</f>
        <v>0</v>
      </c>
      <c r="S135" s="144" t="str">
        <f>L135</f>
        <v>重み係数＝</v>
      </c>
      <c r="T135" s="144">
        <f>M135</f>
        <v>0.1</v>
      </c>
      <c r="U135" s="144">
        <f>I135</f>
        <v>0</v>
      </c>
      <c r="V135" s="144">
        <f>J135</f>
        <v>0</v>
      </c>
      <c r="W135" s="144">
        <f>K135</f>
        <v>0</v>
      </c>
      <c r="X135" s="144" t="e">
        <f>#REF!</f>
        <v>#REF!</v>
      </c>
      <c r="Y135" s="132"/>
    </row>
    <row r="136" spans="1:256" ht="16.5" customHeight="1" thickBot="1">
      <c r="A136" s="1"/>
      <c r="B136" s="627"/>
      <c r="C136" s="36"/>
      <c r="D136" s="1863">
        <v>3</v>
      </c>
      <c r="E136" s="2391" t="s">
        <v>391</v>
      </c>
      <c r="F136" s="2392"/>
      <c r="G136" s="2392"/>
      <c r="H136" s="2392"/>
      <c r="I136" s="2392"/>
      <c r="J136" s="2392"/>
      <c r="K136" s="2392"/>
      <c r="L136" s="2392"/>
      <c r="M136" s="2393"/>
      <c r="N136" s="1"/>
      <c r="O136" s="142"/>
      <c r="P136" s="144"/>
      <c r="Q136" s="142"/>
      <c r="R136" s="144"/>
      <c r="S136" s="144"/>
      <c r="T136" s="144"/>
      <c r="U136" s="144"/>
      <c r="V136" s="144"/>
      <c r="W136" s="144"/>
      <c r="X136" s="144"/>
    </row>
    <row r="137" spans="1:256" ht="16.5" customHeight="1">
      <c r="A137" s="1"/>
      <c r="B137" s="627"/>
      <c r="C137" s="36"/>
      <c r="D137" s="32" t="str">
        <f>IF(D136=$Q$18,$R$13,IF(ROUNDDOWN(D136,0)=$Q$13,$S$13,$R$13))</f>
        <v>　レベル　1</v>
      </c>
      <c r="E137" s="522" t="s">
        <v>383</v>
      </c>
      <c r="F137" s="580"/>
      <c r="G137" s="580"/>
      <c r="H137" s="580"/>
      <c r="I137" s="580"/>
      <c r="J137" s="580"/>
      <c r="K137" s="580"/>
      <c r="L137" s="580"/>
      <c r="M137" s="581"/>
      <c r="N137" s="1"/>
      <c r="O137" s="142"/>
      <c r="P137" s="584" t="s">
        <v>48</v>
      </c>
      <c r="Q137" s="1869">
        <v>1</v>
      </c>
      <c r="R137" s="319" t="s">
        <v>1199</v>
      </c>
      <c r="S137" s="317" t="s">
        <v>1200</v>
      </c>
      <c r="T137" s="144"/>
      <c r="U137" s="584">
        <f>$Q$13</f>
        <v>1</v>
      </c>
      <c r="V137" s="300"/>
      <c r="W137" s="300"/>
      <c r="X137" s="144"/>
    </row>
    <row r="138" spans="1:256" ht="16.5" customHeight="1">
      <c r="A138" s="1"/>
      <c r="B138" s="627"/>
      <c r="C138" s="36"/>
      <c r="D138" s="35" t="str">
        <f>IF(D136=$Q$18,$R$14,IF(ROUNDDOWN(D136,0)=$Q$14,$S$14,$R$14))</f>
        <v>　レベル　2</v>
      </c>
      <c r="E138" s="523" t="s">
        <v>1201</v>
      </c>
      <c r="F138" s="582"/>
      <c r="G138" s="582"/>
      <c r="H138" s="582"/>
      <c r="I138" s="582"/>
      <c r="J138" s="582"/>
      <c r="K138" s="582"/>
      <c r="L138" s="582"/>
      <c r="M138" s="583"/>
      <c r="N138" s="1"/>
      <c r="O138" s="142"/>
      <c r="P138" s="1897">
        <v>2</v>
      </c>
      <c r="Q138" s="1869">
        <v>2</v>
      </c>
      <c r="R138" s="319" t="s">
        <v>460</v>
      </c>
      <c r="S138" s="317" t="s">
        <v>78</v>
      </c>
      <c r="T138" s="144"/>
      <c r="U138" s="584">
        <f>$Q$14</f>
        <v>2</v>
      </c>
      <c r="V138" s="300"/>
      <c r="W138" s="300"/>
      <c r="X138" s="144"/>
    </row>
    <row r="139" spans="1:256" ht="16.5" customHeight="1">
      <c r="A139" s="1"/>
      <c r="B139" s="627"/>
      <c r="C139" s="36"/>
      <c r="D139" s="35" t="str">
        <f>IF(D136=$Q$18,$R$15,IF(ROUNDDOWN(D136,0)=$Q$15,$S$15,$R$15))</f>
        <v>■レベル　3</v>
      </c>
      <c r="E139" s="523" t="s">
        <v>1202</v>
      </c>
      <c r="F139" s="582"/>
      <c r="G139" s="582"/>
      <c r="H139" s="582"/>
      <c r="I139" s="582"/>
      <c r="J139" s="582"/>
      <c r="K139" s="582"/>
      <c r="L139" s="582"/>
      <c r="M139" s="583"/>
      <c r="N139" s="1"/>
      <c r="O139" s="142"/>
      <c r="P139" s="584">
        <f>$Q$15</f>
        <v>3</v>
      </c>
      <c r="Q139" s="1869">
        <v>3</v>
      </c>
      <c r="R139" s="319" t="s">
        <v>461</v>
      </c>
      <c r="S139" s="317" t="s">
        <v>79</v>
      </c>
      <c r="T139" s="144"/>
      <c r="U139" s="584">
        <f>$Q$15</f>
        <v>3</v>
      </c>
      <c r="V139" s="300"/>
      <c r="W139" s="300"/>
      <c r="X139" s="144"/>
    </row>
    <row r="140" spans="1:256" ht="16.5" customHeight="1">
      <c r="A140" s="1"/>
      <c r="B140" s="627"/>
      <c r="C140" s="36"/>
      <c r="D140" s="35" t="str">
        <f>IF(D136=$Q$18,$R$16,IF(ROUNDDOWN(D136,0)=$Q$16,$S$16,$R$16))</f>
        <v>　レベル　4</v>
      </c>
      <c r="E140" s="535" t="s">
        <v>1203</v>
      </c>
      <c r="F140" s="585"/>
      <c r="G140" s="585"/>
      <c r="H140" s="585"/>
      <c r="I140" s="585"/>
      <c r="J140" s="585"/>
      <c r="K140" s="585"/>
      <c r="L140" s="585"/>
      <c r="M140" s="586"/>
      <c r="N140" s="1"/>
      <c r="O140" s="142"/>
      <c r="P140" s="1897">
        <v>4</v>
      </c>
      <c r="Q140" s="1869">
        <v>4</v>
      </c>
      <c r="R140" s="319" t="s">
        <v>462</v>
      </c>
      <c r="S140" s="317" t="s">
        <v>80</v>
      </c>
      <c r="T140" s="144"/>
      <c r="U140" s="584">
        <f>$Q$16</f>
        <v>4</v>
      </c>
      <c r="V140" s="300"/>
      <c r="W140" s="300"/>
      <c r="X140" s="144"/>
    </row>
    <row r="141" spans="1:256" ht="16.5" customHeight="1">
      <c r="A141" s="1"/>
      <c r="B141" s="627"/>
      <c r="C141" s="36"/>
      <c r="D141" s="33" t="str">
        <f>IF(D136=$Q$18,$R$17,IF(ROUNDDOWN(D136,0)=$Q$17,$S$17,$R$17))</f>
        <v>　レベル　5</v>
      </c>
      <c r="E141" s="561" t="s">
        <v>1204</v>
      </c>
      <c r="F141" s="587"/>
      <c r="G141" s="587"/>
      <c r="H141" s="587"/>
      <c r="I141" s="587"/>
      <c r="J141" s="587"/>
      <c r="K141" s="587"/>
      <c r="L141" s="587"/>
      <c r="M141" s="588"/>
      <c r="N141" s="1"/>
      <c r="O141" s="142"/>
      <c r="P141" s="584">
        <f>$Q$17</f>
        <v>5</v>
      </c>
      <c r="Q141" s="1869">
        <v>5</v>
      </c>
      <c r="R141" s="319" t="s">
        <v>463</v>
      </c>
      <c r="S141" s="317" t="s">
        <v>81</v>
      </c>
      <c r="T141" s="144"/>
      <c r="U141" s="584">
        <f>$Q$17</f>
        <v>5</v>
      </c>
      <c r="V141" s="300"/>
      <c r="W141" s="300"/>
      <c r="X141" s="144"/>
    </row>
    <row r="142" spans="1:256" ht="16.5" customHeight="1">
      <c r="A142" s="1"/>
      <c r="B142" s="627"/>
      <c r="C142" s="36"/>
      <c r="D142" s="36"/>
      <c r="E142" s="152" t="s">
        <v>32</v>
      </c>
      <c r="F142" s="51"/>
      <c r="G142" s="151"/>
      <c r="H142" s="40"/>
      <c r="I142" s="40"/>
      <c r="J142" s="51"/>
      <c r="K142" s="51"/>
      <c r="L142" s="51"/>
      <c r="M142" s="51"/>
      <c r="N142" s="36"/>
      <c r="O142" s="142"/>
      <c r="P142" s="584" t="s">
        <v>60</v>
      </c>
      <c r="Q142" s="1862" t="s">
        <v>82</v>
      </c>
      <c r="R142" s="300"/>
      <c r="S142" s="144"/>
      <c r="T142" s="144"/>
      <c r="U142" s="584" t="str">
        <f>$Q$18</f>
        <v>対象外</v>
      </c>
      <c r="V142" s="300"/>
      <c r="W142" s="300"/>
      <c r="X142" s="144"/>
      <c r="Y142" s="598"/>
      <c r="Z142" s="598"/>
      <c r="AA142" s="598"/>
      <c r="AB142" s="598"/>
      <c r="AC142" s="598"/>
      <c r="AD142" s="598"/>
      <c r="AE142" s="598"/>
      <c r="AF142" s="598"/>
      <c r="AG142" s="598"/>
      <c r="AH142" s="598"/>
      <c r="AI142" s="598"/>
      <c r="AJ142" s="598"/>
      <c r="AK142" s="598"/>
      <c r="AL142" s="598"/>
      <c r="AM142" s="598"/>
      <c r="AN142" s="598"/>
      <c r="AO142" s="598"/>
      <c r="AP142" s="598"/>
      <c r="AQ142" s="598"/>
      <c r="AR142" s="598"/>
      <c r="AS142" s="598"/>
      <c r="AT142" s="598"/>
      <c r="AU142" s="598"/>
      <c r="AV142" s="598"/>
      <c r="AW142" s="598"/>
      <c r="AX142" s="598"/>
      <c r="AY142" s="598"/>
      <c r="AZ142" s="598"/>
      <c r="BA142" s="598"/>
      <c r="BB142" s="598"/>
      <c r="BC142" s="598"/>
      <c r="BD142" s="598"/>
      <c r="BE142" s="598"/>
      <c r="BF142" s="598"/>
      <c r="BG142" s="598"/>
      <c r="BH142" s="598"/>
      <c r="BI142" s="598"/>
      <c r="BJ142" s="598"/>
      <c r="BK142" s="598"/>
      <c r="BL142" s="598"/>
      <c r="BM142" s="598"/>
      <c r="BN142" s="598"/>
      <c r="BO142" s="598"/>
      <c r="BP142" s="598"/>
      <c r="BQ142" s="598"/>
      <c r="BR142" s="598"/>
      <c r="BS142" s="598"/>
      <c r="BT142" s="598"/>
      <c r="BU142" s="598"/>
      <c r="BV142" s="598"/>
      <c r="BW142" s="598"/>
      <c r="BX142" s="598"/>
      <c r="BY142" s="598"/>
      <c r="BZ142" s="598"/>
      <c r="CA142" s="598"/>
      <c r="CB142" s="598"/>
      <c r="CC142" s="598"/>
      <c r="CD142" s="598"/>
      <c r="CE142" s="598"/>
      <c r="CF142" s="598"/>
      <c r="CG142" s="598"/>
      <c r="CH142" s="598"/>
      <c r="CI142" s="598"/>
      <c r="CJ142" s="598"/>
      <c r="CK142" s="598"/>
      <c r="CL142" s="598"/>
      <c r="CM142" s="598"/>
      <c r="CN142" s="598"/>
      <c r="CO142" s="598"/>
      <c r="CP142" s="598"/>
      <c r="CQ142" s="598"/>
      <c r="CR142" s="598"/>
      <c r="CS142" s="598"/>
      <c r="CT142" s="598"/>
      <c r="CU142" s="598"/>
      <c r="CV142" s="598"/>
      <c r="CW142" s="598"/>
      <c r="CX142" s="598"/>
      <c r="CY142" s="598"/>
      <c r="CZ142" s="598"/>
      <c r="DA142" s="598"/>
      <c r="DB142" s="598"/>
      <c r="DC142" s="598"/>
      <c r="DD142" s="598"/>
      <c r="DE142" s="598"/>
      <c r="DF142" s="598"/>
      <c r="DG142" s="598"/>
      <c r="DH142" s="598"/>
      <c r="DI142" s="598"/>
      <c r="DJ142" s="598"/>
      <c r="DK142" s="598"/>
      <c r="DL142" s="598"/>
      <c r="DM142" s="598"/>
      <c r="DN142" s="598"/>
      <c r="DO142" s="598"/>
      <c r="DP142" s="598"/>
      <c r="DQ142" s="598"/>
      <c r="DR142" s="598"/>
      <c r="DS142" s="598"/>
      <c r="DT142" s="598"/>
      <c r="DU142" s="598"/>
      <c r="DV142" s="598"/>
      <c r="DW142" s="598"/>
      <c r="DX142" s="598"/>
      <c r="DY142" s="598"/>
      <c r="DZ142" s="598"/>
      <c r="EA142" s="598"/>
      <c r="EB142" s="598"/>
      <c r="EC142" s="598"/>
      <c r="ED142" s="598"/>
      <c r="EE142" s="598"/>
      <c r="EF142" s="598"/>
      <c r="EG142" s="598"/>
      <c r="EH142" s="598"/>
      <c r="EI142" s="598"/>
      <c r="EJ142" s="598"/>
      <c r="EK142" s="598"/>
      <c r="EL142" s="598"/>
      <c r="EM142" s="598"/>
      <c r="EN142" s="598"/>
      <c r="EO142" s="598"/>
      <c r="EP142" s="598"/>
      <c r="EQ142" s="598"/>
      <c r="ER142" s="598"/>
      <c r="ES142" s="598"/>
      <c r="ET142" s="598"/>
      <c r="EU142" s="598"/>
      <c r="EV142" s="598"/>
      <c r="EW142" s="598"/>
      <c r="EX142" s="598"/>
      <c r="EY142" s="598"/>
      <c r="EZ142" s="598"/>
      <c r="FA142" s="598"/>
      <c r="FB142" s="598"/>
      <c r="FC142" s="598"/>
      <c r="FD142" s="598"/>
      <c r="FE142" s="598"/>
      <c r="FF142" s="598"/>
      <c r="FG142" s="598"/>
      <c r="FH142" s="598"/>
      <c r="FI142" s="598"/>
      <c r="FJ142" s="598"/>
      <c r="FK142" s="598"/>
      <c r="FL142" s="598"/>
      <c r="FM142" s="598"/>
      <c r="FN142" s="598"/>
      <c r="FO142" s="598"/>
      <c r="FP142" s="598"/>
      <c r="FQ142" s="598"/>
      <c r="FR142" s="598"/>
      <c r="FS142" s="598"/>
      <c r="FT142" s="598"/>
      <c r="FU142" s="598"/>
      <c r="FV142" s="598"/>
      <c r="FW142" s="598"/>
      <c r="FX142" s="598"/>
      <c r="FY142" s="598"/>
      <c r="FZ142" s="598"/>
      <c r="GA142" s="598"/>
      <c r="GB142" s="598"/>
      <c r="GC142" s="598"/>
      <c r="GD142" s="598"/>
      <c r="GE142" s="598"/>
      <c r="GF142" s="598"/>
      <c r="GG142" s="598"/>
      <c r="GH142" s="598"/>
      <c r="GI142" s="598"/>
      <c r="GJ142" s="598"/>
      <c r="GK142" s="598"/>
      <c r="GL142" s="598"/>
      <c r="GM142" s="598"/>
      <c r="GN142" s="598"/>
      <c r="GO142" s="598"/>
      <c r="GP142" s="598"/>
      <c r="GQ142" s="598"/>
      <c r="GR142" s="598"/>
      <c r="GS142" s="598"/>
      <c r="GT142" s="598"/>
      <c r="GU142" s="598"/>
      <c r="GV142" s="598"/>
      <c r="GW142" s="598"/>
      <c r="GX142" s="598"/>
      <c r="GY142" s="598"/>
      <c r="GZ142" s="598"/>
      <c r="HA142" s="598"/>
      <c r="HB142" s="598"/>
      <c r="HC142" s="598"/>
      <c r="HD142" s="598"/>
      <c r="HE142" s="598"/>
      <c r="HF142" s="598"/>
      <c r="HG142" s="598"/>
      <c r="HH142" s="598"/>
      <c r="HI142" s="598"/>
      <c r="HJ142" s="598"/>
      <c r="HK142" s="598"/>
      <c r="HL142" s="598"/>
      <c r="HM142" s="598"/>
      <c r="HN142" s="598"/>
      <c r="HO142" s="598"/>
      <c r="HP142" s="598"/>
      <c r="HQ142" s="598"/>
      <c r="HR142" s="598"/>
      <c r="HS142" s="598"/>
      <c r="HT142" s="598"/>
      <c r="HU142" s="598"/>
      <c r="HV142" s="598"/>
      <c r="HW142" s="598"/>
      <c r="HX142" s="598"/>
      <c r="HY142" s="598"/>
      <c r="HZ142" s="598"/>
      <c r="IA142" s="598"/>
      <c r="IB142" s="598"/>
      <c r="IC142" s="598"/>
      <c r="ID142" s="598"/>
      <c r="IE142" s="598"/>
      <c r="IF142" s="598"/>
      <c r="IG142" s="598"/>
      <c r="IH142" s="598"/>
      <c r="II142" s="598"/>
      <c r="IJ142" s="598"/>
      <c r="IK142" s="598"/>
      <c r="IL142" s="598"/>
      <c r="IM142" s="598"/>
      <c r="IN142" s="598"/>
      <c r="IO142" s="598"/>
      <c r="IP142" s="598"/>
      <c r="IQ142" s="598"/>
      <c r="IR142" s="598"/>
      <c r="IS142" s="598"/>
      <c r="IT142" s="598"/>
      <c r="IU142" s="598"/>
      <c r="IV142" s="598"/>
    </row>
    <row r="143" spans="1:256" ht="16.5" customHeight="1" thickBot="1">
      <c r="A143" s="1"/>
      <c r="B143" s="627"/>
      <c r="C143" s="36"/>
      <c r="D143" s="36"/>
      <c r="E143" s="140" t="s">
        <v>331</v>
      </c>
      <c r="F143" s="574" t="s">
        <v>70</v>
      </c>
      <c r="G143" s="2426" t="s">
        <v>74</v>
      </c>
      <c r="H143" s="2427"/>
      <c r="I143" s="2427"/>
      <c r="J143" s="2427"/>
      <c r="K143" s="2427"/>
      <c r="L143" s="2427"/>
      <c r="M143" s="2428"/>
      <c r="N143" s="36"/>
      <c r="O143" s="142"/>
      <c r="P143" s="615"/>
      <c r="Q143" s="142"/>
      <c r="R143" s="300"/>
      <c r="S143" s="144"/>
      <c r="T143" s="144"/>
      <c r="U143" s="615"/>
      <c r="V143" s="300"/>
      <c r="W143" s="300"/>
      <c r="X143" s="144"/>
      <c r="Y143" s="598"/>
      <c r="Z143" s="598"/>
      <c r="AA143" s="598"/>
      <c r="AB143" s="598"/>
      <c r="AC143" s="598"/>
      <c r="AD143" s="598"/>
      <c r="AE143" s="598"/>
      <c r="AF143" s="598"/>
      <c r="AG143" s="598"/>
      <c r="AH143" s="598"/>
      <c r="AI143" s="598"/>
      <c r="AJ143" s="598"/>
      <c r="AK143" s="598"/>
      <c r="AL143" s="598"/>
      <c r="AM143" s="598"/>
      <c r="AN143" s="598"/>
      <c r="AO143" s="598"/>
      <c r="AP143" s="598"/>
      <c r="AQ143" s="598"/>
      <c r="AR143" s="598"/>
      <c r="AS143" s="598"/>
      <c r="AT143" s="598"/>
      <c r="AU143" s="598"/>
      <c r="AV143" s="598"/>
      <c r="AW143" s="598"/>
      <c r="AX143" s="598"/>
      <c r="AY143" s="598"/>
      <c r="AZ143" s="598"/>
      <c r="BA143" s="598"/>
      <c r="BB143" s="598"/>
      <c r="BC143" s="598"/>
      <c r="BD143" s="598"/>
      <c r="BE143" s="598"/>
      <c r="BF143" s="598"/>
      <c r="BG143" s="598"/>
      <c r="BH143" s="598"/>
      <c r="BI143" s="598"/>
      <c r="BJ143" s="598"/>
      <c r="BK143" s="598"/>
      <c r="BL143" s="598"/>
      <c r="BM143" s="598"/>
      <c r="BN143" s="598"/>
      <c r="BO143" s="598"/>
      <c r="BP143" s="598"/>
      <c r="BQ143" s="598"/>
      <c r="BR143" s="598"/>
      <c r="BS143" s="598"/>
      <c r="BT143" s="598"/>
      <c r="BU143" s="598"/>
      <c r="BV143" s="598"/>
      <c r="BW143" s="598"/>
      <c r="BX143" s="598"/>
      <c r="BY143" s="598"/>
      <c r="BZ143" s="598"/>
      <c r="CA143" s="598"/>
      <c r="CB143" s="598"/>
      <c r="CC143" s="598"/>
      <c r="CD143" s="598"/>
      <c r="CE143" s="598"/>
      <c r="CF143" s="598"/>
      <c r="CG143" s="598"/>
      <c r="CH143" s="598"/>
      <c r="CI143" s="598"/>
      <c r="CJ143" s="598"/>
      <c r="CK143" s="598"/>
      <c r="CL143" s="598"/>
      <c r="CM143" s="598"/>
      <c r="CN143" s="598"/>
      <c r="CO143" s="598"/>
      <c r="CP143" s="598"/>
      <c r="CQ143" s="598"/>
      <c r="CR143" s="598"/>
      <c r="CS143" s="598"/>
      <c r="CT143" s="598"/>
      <c r="CU143" s="598"/>
      <c r="CV143" s="598"/>
      <c r="CW143" s="598"/>
      <c r="CX143" s="598"/>
      <c r="CY143" s="598"/>
      <c r="CZ143" s="598"/>
      <c r="DA143" s="598"/>
      <c r="DB143" s="598"/>
      <c r="DC143" s="598"/>
      <c r="DD143" s="598"/>
      <c r="DE143" s="598"/>
      <c r="DF143" s="598"/>
      <c r="DG143" s="598"/>
      <c r="DH143" s="598"/>
      <c r="DI143" s="598"/>
      <c r="DJ143" s="598"/>
      <c r="DK143" s="598"/>
      <c r="DL143" s="598"/>
      <c r="DM143" s="598"/>
      <c r="DN143" s="598"/>
      <c r="DO143" s="598"/>
      <c r="DP143" s="598"/>
      <c r="DQ143" s="598"/>
      <c r="DR143" s="598"/>
      <c r="DS143" s="598"/>
      <c r="DT143" s="598"/>
      <c r="DU143" s="598"/>
      <c r="DV143" s="598"/>
      <c r="DW143" s="598"/>
      <c r="DX143" s="598"/>
      <c r="DY143" s="598"/>
      <c r="DZ143" s="598"/>
      <c r="EA143" s="598"/>
      <c r="EB143" s="598"/>
      <c r="EC143" s="598"/>
      <c r="ED143" s="598"/>
      <c r="EE143" s="598"/>
      <c r="EF143" s="598"/>
      <c r="EG143" s="598"/>
      <c r="EH143" s="598"/>
      <c r="EI143" s="598"/>
      <c r="EJ143" s="598"/>
      <c r="EK143" s="598"/>
      <c r="EL143" s="598"/>
      <c r="EM143" s="598"/>
      <c r="EN143" s="598"/>
      <c r="EO143" s="598"/>
      <c r="EP143" s="598"/>
      <c r="EQ143" s="598"/>
      <c r="ER143" s="598"/>
      <c r="ES143" s="598"/>
      <c r="ET143" s="598"/>
      <c r="EU143" s="598"/>
      <c r="EV143" s="598"/>
      <c r="EW143" s="598"/>
      <c r="EX143" s="598"/>
      <c r="EY143" s="598"/>
      <c r="EZ143" s="598"/>
      <c r="FA143" s="598"/>
      <c r="FB143" s="598"/>
      <c r="FC143" s="598"/>
      <c r="FD143" s="598"/>
      <c r="FE143" s="598"/>
      <c r="FF143" s="598"/>
      <c r="FG143" s="598"/>
      <c r="FH143" s="598"/>
      <c r="FI143" s="598"/>
      <c r="FJ143" s="598"/>
      <c r="FK143" s="598"/>
      <c r="FL143" s="598"/>
      <c r="FM143" s="598"/>
      <c r="FN143" s="598"/>
      <c r="FO143" s="598"/>
      <c r="FP143" s="598"/>
      <c r="FQ143" s="598"/>
      <c r="FR143" s="598"/>
      <c r="FS143" s="598"/>
      <c r="FT143" s="598"/>
      <c r="FU143" s="598"/>
      <c r="FV143" s="598"/>
      <c r="FW143" s="598"/>
      <c r="FX143" s="598"/>
      <c r="FY143" s="598"/>
      <c r="FZ143" s="598"/>
      <c r="GA143" s="598"/>
      <c r="GB143" s="598"/>
      <c r="GC143" s="598"/>
      <c r="GD143" s="598"/>
      <c r="GE143" s="598"/>
      <c r="GF143" s="598"/>
      <c r="GG143" s="598"/>
      <c r="GH143" s="598"/>
      <c r="GI143" s="598"/>
      <c r="GJ143" s="598"/>
      <c r="GK143" s="598"/>
      <c r="GL143" s="598"/>
      <c r="GM143" s="598"/>
      <c r="GN143" s="598"/>
      <c r="GO143" s="598"/>
      <c r="GP143" s="598"/>
      <c r="GQ143" s="598"/>
      <c r="GR143" s="598"/>
      <c r="GS143" s="598"/>
      <c r="GT143" s="598"/>
      <c r="GU143" s="598"/>
      <c r="GV143" s="598"/>
      <c r="GW143" s="598"/>
      <c r="GX143" s="598"/>
      <c r="GY143" s="598"/>
      <c r="GZ143" s="598"/>
      <c r="HA143" s="598"/>
      <c r="HB143" s="598"/>
      <c r="HC143" s="598"/>
      <c r="HD143" s="598"/>
      <c r="HE143" s="598"/>
      <c r="HF143" s="598"/>
      <c r="HG143" s="598"/>
      <c r="HH143" s="598"/>
      <c r="HI143" s="598"/>
      <c r="HJ143" s="598"/>
      <c r="HK143" s="598"/>
      <c r="HL143" s="598"/>
      <c r="HM143" s="598"/>
      <c r="HN143" s="598"/>
      <c r="HO143" s="598"/>
      <c r="HP143" s="598"/>
      <c r="HQ143" s="598"/>
      <c r="HR143" s="598"/>
      <c r="HS143" s="598"/>
      <c r="HT143" s="598"/>
      <c r="HU143" s="598"/>
      <c r="HV143" s="598"/>
      <c r="HW143" s="598"/>
      <c r="HX143" s="598"/>
      <c r="HY143" s="598"/>
      <c r="HZ143" s="598"/>
      <c r="IA143" s="598"/>
      <c r="IB143" s="598"/>
      <c r="IC143" s="598"/>
      <c r="ID143" s="598"/>
      <c r="IE143" s="598"/>
      <c r="IF143" s="598"/>
      <c r="IG143" s="598"/>
      <c r="IH143" s="598"/>
      <c r="II143" s="598"/>
      <c r="IJ143" s="598"/>
      <c r="IK143" s="598"/>
      <c r="IL143" s="598"/>
      <c r="IM143" s="598"/>
      <c r="IN143" s="598"/>
      <c r="IO143" s="598"/>
      <c r="IP143" s="598"/>
      <c r="IQ143" s="598"/>
      <c r="IR143" s="598"/>
      <c r="IS143" s="598"/>
      <c r="IT143" s="598"/>
      <c r="IU143" s="598"/>
      <c r="IV143" s="598"/>
    </row>
    <row r="144" spans="1:256" s="327" customFormat="1" ht="60.75" customHeight="1">
      <c r="A144" s="22"/>
      <c r="B144" s="627"/>
      <c r="C144" s="147"/>
      <c r="D144" s="24"/>
      <c r="E144" s="375"/>
      <c r="F144" s="511">
        <v>1</v>
      </c>
      <c r="G144" s="628" t="s">
        <v>664</v>
      </c>
      <c r="H144" s="637"/>
      <c r="I144" s="637"/>
      <c r="J144" s="2513" t="s">
        <v>1188</v>
      </c>
      <c r="K144" s="2514"/>
      <c r="L144" s="2514"/>
      <c r="M144" s="2515"/>
      <c r="N144" s="22"/>
      <c r="O144" s="175"/>
      <c r="P144" s="325"/>
      <c r="Q144" s="175"/>
      <c r="R144" s="301"/>
      <c r="S144" s="301"/>
      <c r="T144" s="301"/>
      <c r="U144" s="301"/>
      <c r="V144" s="301"/>
      <c r="W144" s="301"/>
      <c r="X144" s="301"/>
      <c r="Y144" s="132"/>
    </row>
    <row r="145" spans="1:25" s="327" customFormat="1" ht="24" customHeight="1">
      <c r="A145" s="22"/>
      <c r="B145" s="627"/>
      <c r="C145" s="147"/>
      <c r="D145" s="24"/>
      <c r="E145" s="533"/>
      <c r="F145" s="575">
        <v>2</v>
      </c>
      <c r="G145" s="738" t="s">
        <v>776</v>
      </c>
      <c r="H145" s="739"/>
      <c r="I145" s="739"/>
      <c r="J145" s="2510" t="s">
        <v>777</v>
      </c>
      <c r="K145" s="2511"/>
      <c r="L145" s="2511"/>
      <c r="M145" s="2512"/>
      <c r="N145" s="22"/>
      <c r="O145" s="175"/>
      <c r="P145" s="325"/>
      <c r="Q145" s="175"/>
      <c r="R145" s="301"/>
      <c r="S145" s="301"/>
      <c r="T145" s="301"/>
      <c r="U145" s="301"/>
      <c r="V145" s="301"/>
      <c r="W145" s="301"/>
      <c r="X145" s="301"/>
      <c r="Y145" s="132"/>
    </row>
    <row r="146" spans="1:25" s="327" customFormat="1" ht="24" customHeight="1">
      <c r="A146" s="22"/>
      <c r="B146" s="627"/>
      <c r="C146" s="147"/>
      <c r="D146" s="24"/>
      <c r="E146" s="533"/>
      <c r="F146" s="559">
        <v>3</v>
      </c>
      <c r="G146" s="174" t="s">
        <v>665</v>
      </c>
      <c r="H146" s="513"/>
      <c r="I146" s="513"/>
      <c r="J146" s="2510" t="s">
        <v>1189</v>
      </c>
      <c r="K146" s="2511"/>
      <c r="L146" s="2511"/>
      <c r="M146" s="2512"/>
      <c r="N146" s="22"/>
      <c r="O146" s="175"/>
      <c r="P146" s="325"/>
      <c r="Q146" s="175"/>
      <c r="R146" s="301"/>
      <c r="S146" s="301"/>
      <c r="T146" s="301"/>
      <c r="U146" s="301"/>
      <c r="V146" s="301"/>
      <c r="W146" s="301"/>
      <c r="X146" s="301"/>
      <c r="Y146" s="132"/>
    </row>
    <row r="147" spans="1:25" s="327" customFormat="1" ht="42" customHeight="1">
      <c r="A147" s="22"/>
      <c r="B147" s="627"/>
      <c r="C147" s="147"/>
      <c r="D147" s="24"/>
      <c r="E147" s="533"/>
      <c r="F147" s="559">
        <v>4</v>
      </c>
      <c r="G147" s="174" t="s">
        <v>1092</v>
      </c>
      <c r="H147" s="1787"/>
      <c r="I147" s="1787"/>
      <c r="J147" s="2510" t="s">
        <v>1190</v>
      </c>
      <c r="K147" s="2511"/>
      <c r="L147" s="2511"/>
      <c r="M147" s="2512"/>
      <c r="N147" s="22"/>
      <c r="O147" s="175"/>
      <c r="P147" s="325"/>
      <c r="Q147" s="175"/>
      <c r="R147" s="301"/>
      <c r="S147" s="301"/>
      <c r="T147" s="301"/>
      <c r="U147" s="301"/>
      <c r="V147" s="301"/>
      <c r="W147" s="301"/>
      <c r="X147" s="301"/>
      <c r="Y147" s="132"/>
    </row>
    <row r="148" spans="1:25" s="552" customFormat="1" ht="24" customHeight="1" thickBot="1">
      <c r="A148" s="29"/>
      <c r="B148" s="627"/>
      <c r="C148" s="147"/>
      <c r="D148" s="1911"/>
      <c r="E148" s="1900"/>
      <c r="F148" s="795">
        <v>5</v>
      </c>
      <c r="G148" s="2528" t="s">
        <v>1090</v>
      </c>
      <c r="H148" s="2529"/>
      <c r="I148" s="2530"/>
      <c r="J148" s="2531" t="s">
        <v>1091</v>
      </c>
      <c r="K148" s="2529"/>
      <c r="L148" s="2529"/>
      <c r="M148" s="2530"/>
      <c r="N148" s="29"/>
      <c r="O148" s="175"/>
      <c r="P148" s="1912"/>
      <c r="Q148" s="175"/>
      <c r="R148" s="175"/>
      <c r="S148" s="175"/>
      <c r="T148" s="175"/>
      <c r="U148" s="175"/>
      <c r="V148" s="175"/>
      <c r="W148" s="175"/>
      <c r="X148" s="175"/>
      <c r="Y148" s="144"/>
    </row>
    <row r="149" spans="1:25" s="144" customFormat="1" ht="8.25" customHeight="1">
      <c r="A149" s="51"/>
      <c r="B149" s="164"/>
      <c r="C149" s="607"/>
      <c r="D149" s="309"/>
      <c r="E149" s="309"/>
      <c r="F149" s="1"/>
      <c r="G149" s="1"/>
      <c r="H149" s="1"/>
      <c r="I149" s="1"/>
      <c r="J149" s="1"/>
      <c r="K149" s="1"/>
      <c r="L149" s="1"/>
      <c r="M149" s="1"/>
      <c r="N149" s="150"/>
      <c r="P149" s="584" t="s">
        <v>60</v>
      </c>
      <c r="Q149" s="324" t="s">
        <v>82</v>
      </c>
      <c r="R149" s="4"/>
      <c r="S149" s="4"/>
      <c r="T149" s="132"/>
    </row>
    <row r="150" spans="1:25" s="144" customFormat="1" ht="21" customHeight="1">
      <c r="A150" s="51"/>
      <c r="B150" s="164"/>
      <c r="C150" s="607"/>
      <c r="E150" s="781" t="s">
        <v>3</v>
      </c>
      <c r="F150" s="782"/>
      <c r="G150" s="1201"/>
      <c r="H150" s="1201"/>
      <c r="I150" s="2388"/>
      <c r="J150" s="2389"/>
      <c r="K150" s="2389"/>
      <c r="L150" s="2389"/>
      <c r="M150" s="2390"/>
      <c r="N150" s="150"/>
      <c r="P150" s="615"/>
      <c r="Q150" s="324"/>
      <c r="R150" s="4"/>
      <c r="S150" s="4"/>
      <c r="T150" s="132"/>
      <c r="U150" s="615"/>
      <c r="V150" s="132"/>
      <c r="W150" s="132"/>
      <c r="X150" s="132"/>
      <c r="Y150" s="132"/>
    </row>
    <row r="151" spans="1:25" s="144" customFormat="1" ht="16.5" customHeight="1" thickBot="1">
      <c r="A151" s="51"/>
      <c r="B151" s="164"/>
      <c r="C151" s="607"/>
      <c r="E151" s="152" t="s">
        <v>1093</v>
      </c>
      <c r="F151" s="417"/>
      <c r="G151" s="417"/>
      <c r="H151" s="417"/>
      <c r="I151" s="1786"/>
      <c r="J151" s="1860"/>
      <c r="K151" s="1860"/>
      <c r="L151" s="1860"/>
      <c r="M151" s="1860"/>
      <c r="N151" s="150"/>
      <c r="P151" s="1861"/>
      <c r="Q151" s="1862"/>
      <c r="R151" s="37"/>
      <c r="S151" s="37"/>
      <c r="U151" s="1861"/>
    </row>
    <row r="152" spans="1:25" s="144" customFormat="1" ht="21" customHeight="1" thickBot="1">
      <c r="A152" s="51"/>
      <c r="B152" s="164"/>
      <c r="C152" s="607"/>
      <c r="E152" s="1863" t="s">
        <v>1002</v>
      </c>
      <c r="F152" s="2520" t="s">
        <v>1094</v>
      </c>
      <c r="G152" s="2521"/>
      <c r="H152" s="2521"/>
      <c r="I152" s="2521"/>
      <c r="J152" s="2521"/>
      <c r="K152" s="2521"/>
      <c r="L152" s="2521"/>
      <c r="M152" s="2468"/>
      <c r="N152" s="150"/>
      <c r="P152" s="1861"/>
      <c r="Q152" s="1862"/>
      <c r="R152" s="37"/>
      <c r="S152" s="37"/>
      <c r="U152" s="1861"/>
    </row>
    <row r="153" spans="1:25" s="144" customFormat="1" ht="16.5" customHeight="1" thickBot="1">
      <c r="A153" s="51"/>
      <c r="B153" s="164"/>
      <c r="C153" s="607"/>
      <c r="E153" s="152" t="s">
        <v>1077</v>
      </c>
      <c r="F153" s="417"/>
      <c r="G153" s="417"/>
      <c r="H153" s="417"/>
      <c r="I153" s="1786"/>
      <c r="J153" s="1860"/>
      <c r="K153" s="1860"/>
      <c r="L153" s="1860"/>
      <c r="M153" s="1860"/>
      <c r="N153" s="150"/>
      <c r="P153" s="1861"/>
      <c r="Q153" s="1862"/>
      <c r="R153" s="37"/>
      <c r="S153" s="37"/>
      <c r="U153" s="1861"/>
    </row>
    <row r="154" spans="1:25" s="144" customFormat="1" ht="21" customHeight="1" thickBot="1">
      <c r="A154" s="51"/>
      <c r="B154" s="164"/>
      <c r="C154" s="607"/>
      <c r="E154" s="1863" t="s">
        <v>1002</v>
      </c>
      <c r="F154" s="2520" t="s">
        <v>1078</v>
      </c>
      <c r="G154" s="2521"/>
      <c r="H154" s="2521"/>
      <c r="I154" s="2521"/>
      <c r="J154" s="2521"/>
      <c r="K154" s="2521"/>
      <c r="L154" s="2521"/>
      <c r="M154" s="2468"/>
      <c r="N154" s="150"/>
      <c r="P154" s="1861"/>
      <c r="Q154" s="1862"/>
      <c r="R154" s="37"/>
      <c r="S154" s="37"/>
      <c r="U154" s="1861"/>
    </row>
    <row r="155" spans="1:25" ht="20.25" customHeight="1">
      <c r="A155" s="1"/>
      <c r="B155" s="627"/>
      <c r="C155" s="36"/>
      <c r="D155" s="134"/>
      <c r="E155" s="36"/>
      <c r="F155" s="36"/>
      <c r="G155" s="36"/>
      <c r="H155" s="296"/>
      <c r="I155" s="134"/>
      <c r="J155" s="161"/>
      <c r="K155" s="296"/>
      <c r="L155" s="296"/>
      <c r="M155" s="296"/>
      <c r="N155" s="36"/>
      <c r="O155" s="598"/>
    </row>
    <row r="156" spans="1:25" s="327" customFormat="1" ht="14.25" customHeight="1">
      <c r="A156" s="22"/>
      <c r="B156" s="1061">
        <v>2</v>
      </c>
      <c r="C156" s="147" t="s">
        <v>516</v>
      </c>
      <c r="D156" s="150"/>
      <c r="E156" s="150"/>
      <c r="F156" s="150"/>
      <c r="G156" s="150"/>
      <c r="H156" s="150"/>
      <c r="I156" s="150"/>
      <c r="J156" s="150"/>
      <c r="K156" s="150"/>
      <c r="L156" s="150"/>
      <c r="M156" s="150"/>
      <c r="N156" s="22"/>
    </row>
    <row r="157" spans="1:25" s="327" customFormat="1" ht="14.25" customHeight="1">
      <c r="A157" s="22"/>
      <c r="B157" s="164">
        <v>2.1</v>
      </c>
      <c r="C157" s="147" t="s">
        <v>546</v>
      </c>
      <c r="D157" s="150"/>
      <c r="E157" s="310"/>
      <c r="F157" s="150"/>
      <c r="G157" s="150"/>
      <c r="H157" s="150"/>
      <c r="I157" s="150"/>
      <c r="J157" s="150"/>
      <c r="K157" s="150"/>
      <c r="L157" s="150"/>
      <c r="M157" s="150"/>
      <c r="N157" s="22"/>
    </row>
    <row r="158" spans="1:25" ht="16.5" customHeight="1" thickBot="1">
      <c r="A158" s="1"/>
      <c r="B158" s="627"/>
      <c r="C158" s="36"/>
      <c r="D158" s="135"/>
      <c r="E158" s="147"/>
      <c r="F158" s="150"/>
      <c r="G158" s="5"/>
      <c r="H158" s="5"/>
      <c r="I158" s="150"/>
      <c r="J158" s="150"/>
      <c r="K158" s="150"/>
      <c r="L158" s="176" t="s">
        <v>2</v>
      </c>
      <c r="M158" s="173">
        <f>重み!M73</f>
        <v>0.33</v>
      </c>
      <c r="N158" s="1"/>
      <c r="O158" s="144">
        <f>C158</f>
        <v>0</v>
      </c>
      <c r="P158" s="144">
        <f>D158</f>
        <v>0</v>
      </c>
      <c r="Q158" s="144">
        <f>E158</f>
        <v>0</v>
      </c>
      <c r="R158" s="144">
        <f>F158</f>
        <v>0</v>
      </c>
      <c r="S158" s="144" t="str">
        <f>L158</f>
        <v>重み係数＝</v>
      </c>
      <c r="T158" s="144">
        <f>M158</f>
        <v>0.33</v>
      </c>
      <c r="U158" s="144">
        <f>I158</f>
        <v>0</v>
      </c>
      <c r="V158" s="144">
        <f>J158</f>
        <v>0</v>
      </c>
      <c r="W158" s="144">
        <f>K158</f>
        <v>0</v>
      </c>
      <c r="X158" s="144" t="e">
        <f>#REF!</f>
        <v>#REF!</v>
      </c>
    </row>
    <row r="159" spans="1:25" ht="16.5" customHeight="1" thickBot="1">
      <c r="A159" s="1"/>
      <c r="B159" s="627"/>
      <c r="C159" s="36"/>
      <c r="D159" s="1049">
        <v>3</v>
      </c>
      <c r="E159" s="2391" t="s">
        <v>391</v>
      </c>
      <c r="F159" s="2392"/>
      <c r="G159" s="2392"/>
      <c r="H159" s="2392"/>
      <c r="I159" s="2392"/>
      <c r="J159" s="2392"/>
      <c r="K159" s="2392"/>
      <c r="L159" s="2392"/>
      <c r="M159" s="2393"/>
      <c r="N159" s="1"/>
      <c r="O159" s="142"/>
      <c r="P159" s="144"/>
      <c r="Q159" s="142"/>
      <c r="R159" s="144"/>
      <c r="S159" s="144"/>
      <c r="T159" s="144"/>
      <c r="U159" s="144"/>
      <c r="V159" s="144"/>
      <c r="W159" s="144"/>
      <c r="X159" s="144"/>
    </row>
    <row r="160" spans="1:25" ht="16.5" customHeight="1">
      <c r="A160" s="1"/>
      <c r="B160" s="627"/>
      <c r="C160" s="36"/>
      <c r="D160" s="32" t="str">
        <f>IF(D159=$Q$18,$R$13,IF(ROUNDDOWN(D159,0)=$Q$13,$S$13,$R$13))</f>
        <v>　レベル　1</v>
      </c>
      <c r="E160" s="522" t="s">
        <v>383</v>
      </c>
      <c r="F160" s="580"/>
      <c r="G160" s="580"/>
      <c r="H160" s="580"/>
      <c r="I160" s="580"/>
      <c r="J160" s="580"/>
      <c r="K160" s="580"/>
      <c r="L160" s="580"/>
      <c r="M160" s="581"/>
      <c r="N160" s="1"/>
      <c r="O160" s="142"/>
      <c r="P160" s="584" t="s">
        <v>48</v>
      </c>
      <c r="Q160" s="142"/>
      <c r="R160" s="300"/>
      <c r="S160" s="144"/>
      <c r="T160" s="144"/>
      <c r="U160" s="584">
        <f>$Q$13</f>
        <v>1</v>
      </c>
      <c r="V160" s="300"/>
      <c r="W160" s="300"/>
      <c r="X160" s="144"/>
    </row>
    <row r="161" spans="1:25" ht="16.5" customHeight="1">
      <c r="A161" s="1"/>
      <c r="B161" s="627"/>
      <c r="C161" s="36"/>
      <c r="D161" s="35" t="str">
        <f>IF(D159=$Q$18,$R$14,IF(ROUNDDOWN(D159,0)=$Q$14,$S$14,$R$14))</f>
        <v>　レベル　2</v>
      </c>
      <c r="E161" s="523" t="s">
        <v>383</v>
      </c>
      <c r="F161" s="582"/>
      <c r="G161" s="582"/>
      <c r="H161" s="582"/>
      <c r="I161" s="582"/>
      <c r="J161" s="582"/>
      <c r="K161" s="582"/>
      <c r="L161" s="582"/>
      <c r="M161" s="583"/>
      <c r="N161" s="1"/>
      <c r="O161" s="142"/>
      <c r="P161" s="584" t="s">
        <v>48</v>
      </c>
      <c r="Q161" s="142"/>
      <c r="R161" s="300"/>
      <c r="S161" s="144"/>
      <c r="T161" s="144"/>
      <c r="U161" s="584">
        <f>$Q$14</f>
        <v>2</v>
      </c>
      <c r="V161" s="300"/>
      <c r="W161" s="300"/>
      <c r="X161" s="144"/>
    </row>
    <row r="162" spans="1:25" ht="16.5" customHeight="1">
      <c r="A162" s="1"/>
      <c r="B162" s="627"/>
      <c r="C162" s="36"/>
      <c r="D162" s="35" t="str">
        <f>IF(D159=$Q$18,$R$15,IF(ROUNDDOWN(D159,0)=$Q$15,$S$15,$R$15))</f>
        <v>■レベル　3</v>
      </c>
      <c r="E162" s="523" t="s">
        <v>1191</v>
      </c>
      <c r="F162" s="582"/>
      <c r="G162" s="582"/>
      <c r="H162" s="582"/>
      <c r="I162" s="582"/>
      <c r="J162" s="582"/>
      <c r="K162" s="582"/>
      <c r="L162" s="582"/>
      <c r="M162" s="583"/>
      <c r="N162" s="1"/>
      <c r="O162" s="142"/>
      <c r="P162" s="584">
        <f>$Q$15</f>
        <v>3</v>
      </c>
      <c r="Q162" s="142"/>
      <c r="R162" s="300"/>
      <c r="S162" s="144"/>
      <c r="T162" s="144"/>
      <c r="U162" s="584">
        <f>$Q$15</f>
        <v>3</v>
      </c>
      <c r="V162" s="300"/>
      <c r="W162" s="300"/>
      <c r="X162" s="144"/>
    </row>
    <row r="163" spans="1:25" ht="16.5" customHeight="1">
      <c r="A163" s="1"/>
      <c r="B163" s="627"/>
      <c r="C163" s="36"/>
      <c r="D163" s="35" t="str">
        <f>IF(D159=$Q$18,$R$16,IF(ROUNDDOWN(D159,0)=$Q$16,$S$16,$R$16))</f>
        <v>　レベル　4</v>
      </c>
      <c r="E163" s="535" t="s">
        <v>383</v>
      </c>
      <c r="F163" s="585"/>
      <c r="G163" s="585"/>
      <c r="H163" s="585"/>
      <c r="I163" s="585"/>
      <c r="J163" s="585"/>
      <c r="K163" s="585"/>
      <c r="L163" s="585"/>
      <c r="M163" s="586"/>
      <c r="N163" s="1"/>
      <c r="O163" s="142"/>
      <c r="P163" s="584" t="s">
        <v>48</v>
      </c>
      <c r="Q163" s="142"/>
      <c r="R163" s="300"/>
      <c r="S163" s="144"/>
      <c r="T163" s="144"/>
      <c r="U163" s="584">
        <f>$Q$16</f>
        <v>4</v>
      </c>
      <c r="V163" s="300"/>
      <c r="W163" s="300"/>
      <c r="X163" s="144"/>
    </row>
    <row r="164" spans="1:25" ht="24" customHeight="1">
      <c r="A164" s="1"/>
      <c r="B164" s="627"/>
      <c r="C164" s="36"/>
      <c r="D164" s="33" t="str">
        <f>IF(D159=$Q$18,$R$17,IF(ROUNDDOWN(D159,0)=$Q$17,$S$17,$R$17))</f>
        <v>　レベル　5</v>
      </c>
      <c r="E164" s="2414" t="s">
        <v>1192</v>
      </c>
      <c r="F164" s="2526"/>
      <c r="G164" s="2526"/>
      <c r="H164" s="2526"/>
      <c r="I164" s="2526"/>
      <c r="J164" s="2526"/>
      <c r="K164" s="2526"/>
      <c r="L164" s="2526"/>
      <c r="M164" s="2527"/>
      <c r="N164" s="1"/>
      <c r="O164" s="142"/>
      <c r="P164" s="584">
        <f>$Q$17</f>
        <v>5</v>
      </c>
      <c r="Q164" s="142"/>
      <c r="R164" s="300"/>
      <c r="S164" s="144"/>
      <c r="T164" s="144"/>
      <c r="U164" s="584">
        <f>$Q$17</f>
        <v>5</v>
      </c>
      <c r="V164" s="300"/>
      <c r="W164" s="300"/>
      <c r="X164" s="144"/>
    </row>
    <row r="165" spans="1:25" s="144" customFormat="1" ht="8.25" customHeight="1">
      <c r="A165" s="51"/>
      <c r="B165" s="164"/>
      <c r="C165" s="607"/>
      <c r="D165" s="309"/>
      <c r="E165" s="309"/>
      <c r="F165" s="1"/>
      <c r="G165" s="1"/>
      <c r="H165" s="1"/>
      <c r="I165" s="1"/>
      <c r="J165" s="1"/>
      <c r="K165" s="1"/>
      <c r="L165" s="1"/>
      <c r="M165" s="1"/>
      <c r="N165" s="150"/>
      <c r="P165" s="584" t="str">
        <f>Q165</f>
        <v>対象外</v>
      </c>
      <c r="Q165" s="324" t="s">
        <v>82</v>
      </c>
      <c r="R165" s="4"/>
      <c r="S165" s="4"/>
      <c r="T165" s="132"/>
    </row>
    <row r="166" spans="1:25" s="144" customFormat="1" ht="21" customHeight="1">
      <c r="A166" s="51"/>
      <c r="B166" s="164"/>
      <c r="C166" s="607"/>
      <c r="E166" s="781" t="s">
        <v>3</v>
      </c>
      <c r="F166" s="782"/>
      <c r="G166" s="1201"/>
      <c r="H166" s="1201"/>
      <c r="I166" s="2388"/>
      <c r="J166" s="2389"/>
      <c r="K166" s="2389"/>
      <c r="L166" s="2389"/>
      <c r="M166" s="2390"/>
      <c r="N166" s="150"/>
      <c r="P166" s="615"/>
      <c r="Q166" s="324"/>
      <c r="R166" s="4"/>
      <c r="S166" s="4"/>
      <c r="T166" s="132"/>
      <c r="U166" s="615"/>
      <c r="V166" s="132"/>
      <c r="W166" s="132"/>
      <c r="X166" s="132"/>
      <c r="Y166" s="132"/>
    </row>
    <row r="167" spans="1:25" s="144" customFormat="1" ht="16.5" customHeight="1" thickBot="1">
      <c r="A167" s="51"/>
      <c r="B167" s="164"/>
      <c r="C167" s="607"/>
      <c r="E167" s="152" t="s">
        <v>1077</v>
      </c>
      <c r="F167" s="417"/>
      <c r="G167" s="417"/>
      <c r="H167" s="417"/>
      <c r="I167" s="1786"/>
      <c r="J167" s="1860"/>
      <c r="K167" s="1860"/>
      <c r="L167" s="1860"/>
      <c r="M167" s="1860"/>
      <c r="N167" s="150"/>
      <c r="P167" s="1861"/>
      <c r="Q167" s="1862"/>
      <c r="R167" s="37"/>
      <c r="S167" s="37"/>
      <c r="U167" s="1861"/>
    </row>
    <row r="168" spans="1:25" s="144" customFormat="1" ht="27" customHeight="1" thickBot="1">
      <c r="A168" s="51"/>
      <c r="B168" s="164"/>
      <c r="C168" s="607"/>
      <c r="E168" s="2186" t="s">
        <v>1002</v>
      </c>
      <c r="F168" s="2397" t="s">
        <v>1095</v>
      </c>
      <c r="G168" s="2521"/>
      <c r="H168" s="2521"/>
      <c r="I168" s="2521"/>
      <c r="J168" s="2521"/>
      <c r="K168" s="2521"/>
      <c r="L168" s="2521"/>
      <c r="M168" s="2468"/>
      <c r="N168" s="150"/>
      <c r="P168" s="1861"/>
      <c r="Q168" s="1862"/>
      <c r="R168" s="37"/>
      <c r="S168" s="37"/>
      <c r="U168" s="1861"/>
    </row>
    <row r="169" spans="1:25">
      <c r="A169" s="1"/>
      <c r="B169" s="627"/>
      <c r="C169" s="36"/>
      <c r="D169" s="36"/>
      <c r="E169" s="36"/>
      <c r="F169" s="36"/>
      <c r="G169" s="36"/>
      <c r="H169" s="36"/>
      <c r="I169" s="36"/>
      <c r="J169" s="36"/>
      <c r="K169" s="36"/>
      <c r="L169" s="36"/>
      <c r="M169" s="36"/>
      <c r="N169" s="36"/>
      <c r="O169" s="142"/>
      <c r="P169" s="615"/>
      <c r="Q169" s="142"/>
      <c r="R169" s="300"/>
      <c r="S169" s="144"/>
      <c r="T169" s="144"/>
      <c r="U169" s="615"/>
      <c r="V169" s="300"/>
      <c r="W169" s="300"/>
      <c r="X169" s="144"/>
    </row>
    <row r="170" spans="1:25" ht="15.75">
      <c r="A170" s="1"/>
      <c r="B170" s="1061">
        <v>2.2000000000000002</v>
      </c>
      <c r="C170" s="147" t="s">
        <v>545</v>
      </c>
      <c r="D170" s="36"/>
      <c r="E170" s="36"/>
      <c r="F170" s="36"/>
      <c r="G170" s="36"/>
      <c r="H170" s="36"/>
      <c r="I170" s="36"/>
      <c r="J170" s="36"/>
      <c r="K170" s="36"/>
      <c r="L170" s="36"/>
      <c r="M170" s="36"/>
      <c r="N170" s="36"/>
      <c r="O170" s="142"/>
      <c r="P170" s="615"/>
      <c r="Q170" s="142"/>
      <c r="R170" s="300"/>
      <c r="S170" s="144"/>
      <c r="T170" s="144"/>
      <c r="U170" s="615"/>
      <c r="V170" s="300"/>
      <c r="W170" s="300"/>
      <c r="X170" s="144"/>
    </row>
    <row r="171" spans="1:25" s="327" customFormat="1" ht="16.5" customHeight="1" thickBot="1">
      <c r="A171" s="22"/>
      <c r="D171" s="147"/>
      <c r="E171" s="414"/>
      <c r="F171" s="302"/>
      <c r="G171" s="302"/>
      <c r="H171" s="302"/>
      <c r="I171" s="302"/>
      <c r="J171" s="302"/>
      <c r="K171" s="302"/>
      <c r="L171" s="176" t="s">
        <v>2</v>
      </c>
      <c r="M171" s="173">
        <f>重み!M74</f>
        <v>0.33</v>
      </c>
      <c r="N171" s="22"/>
      <c r="O171" s="144" t="str">
        <f>C170</f>
        <v>生産段階（構造躯体用以外の部材）</v>
      </c>
      <c r="P171" s="144">
        <f t="shared" ref="P171:X171" si="2">D171</f>
        <v>0</v>
      </c>
      <c r="Q171" s="144">
        <f t="shared" si="2"/>
        <v>0</v>
      </c>
      <c r="R171" s="144">
        <f t="shared" si="2"/>
        <v>0</v>
      </c>
      <c r="S171" s="144">
        <f t="shared" si="2"/>
        <v>0</v>
      </c>
      <c r="T171" s="144">
        <f t="shared" si="2"/>
        <v>0</v>
      </c>
      <c r="U171" s="144">
        <f t="shared" si="2"/>
        <v>0</v>
      </c>
      <c r="V171" s="144">
        <f t="shared" si="2"/>
        <v>0</v>
      </c>
      <c r="W171" s="144">
        <f t="shared" si="2"/>
        <v>0</v>
      </c>
      <c r="X171" s="144" t="str">
        <f t="shared" si="2"/>
        <v>重み係数＝</v>
      </c>
    </row>
    <row r="172" spans="1:25" ht="16.5" customHeight="1" thickBot="1">
      <c r="A172" s="1"/>
      <c r="B172" s="564"/>
      <c r="C172" s="133"/>
      <c r="D172" s="1049">
        <v>3</v>
      </c>
      <c r="E172" s="2391" t="s">
        <v>391</v>
      </c>
      <c r="F172" s="2392"/>
      <c r="G172" s="2392"/>
      <c r="H172" s="2392"/>
      <c r="I172" s="2392"/>
      <c r="J172" s="2392"/>
      <c r="K172" s="2392"/>
      <c r="L172" s="2392"/>
      <c r="M172" s="2393"/>
      <c r="N172" s="1"/>
      <c r="O172" s="142"/>
      <c r="P172" s="144"/>
      <c r="Q172" s="142"/>
      <c r="R172" s="144"/>
      <c r="S172" s="144"/>
      <c r="T172" s="144"/>
      <c r="U172" s="144"/>
      <c r="V172" s="144"/>
      <c r="W172" s="144"/>
      <c r="X172" s="144"/>
    </row>
    <row r="173" spans="1:25" ht="16.5" customHeight="1">
      <c r="A173" s="1"/>
      <c r="B173" s="564"/>
      <c r="C173" s="133"/>
      <c r="D173" s="32" t="str">
        <f>IF(D172=$Q$18,$R$13,IF(ROUNDDOWN(D172,0)=$Q$13,$S$13,$R$13))</f>
        <v>　レベル　1</v>
      </c>
      <c r="E173" s="522" t="s">
        <v>383</v>
      </c>
      <c r="F173" s="580"/>
      <c r="G173" s="580"/>
      <c r="H173" s="580"/>
      <c r="I173" s="580"/>
      <c r="J173" s="580"/>
      <c r="K173" s="580"/>
      <c r="L173" s="580"/>
      <c r="M173" s="581"/>
      <c r="N173" s="1"/>
      <c r="O173" s="142"/>
      <c r="P173" s="584" t="s">
        <v>48</v>
      </c>
      <c r="Q173" s="142"/>
      <c r="R173" s="300"/>
      <c r="S173" s="144"/>
      <c r="T173" s="144"/>
      <c r="U173" s="584">
        <f>$Q$13</f>
        <v>1</v>
      </c>
      <c r="V173" s="300"/>
      <c r="W173" s="300"/>
      <c r="X173" s="144"/>
    </row>
    <row r="174" spans="1:25" ht="16.5" customHeight="1">
      <c r="A174" s="1"/>
      <c r="B174" s="564"/>
      <c r="C174" s="133"/>
      <c r="D174" s="35" t="str">
        <f>IF(D172=$Q$18,$R$14,IF(ROUNDDOWN(D172,0)=$Q$14,$S$14,$R$14))</f>
        <v>　レベル　2</v>
      </c>
      <c r="E174" s="523" t="s">
        <v>383</v>
      </c>
      <c r="F174" s="582"/>
      <c r="G174" s="582"/>
      <c r="H174" s="582"/>
      <c r="I174" s="582"/>
      <c r="J174" s="582"/>
      <c r="K174" s="582"/>
      <c r="L174" s="582"/>
      <c r="M174" s="583"/>
      <c r="N174" s="1"/>
      <c r="O174" s="142"/>
      <c r="P174" s="584" t="s">
        <v>48</v>
      </c>
      <c r="Q174" s="142"/>
      <c r="R174" s="300"/>
      <c r="S174" s="144"/>
      <c r="T174" s="144"/>
      <c r="U174" s="584">
        <f>$Q$14</f>
        <v>2</v>
      </c>
      <c r="V174" s="300"/>
      <c r="W174" s="300"/>
      <c r="X174" s="144"/>
    </row>
    <row r="175" spans="1:25" ht="16.5" customHeight="1">
      <c r="A175" s="1"/>
      <c r="B175" s="564"/>
      <c r="C175" s="133"/>
      <c r="D175" s="35" t="str">
        <f>IF(D172=$Q$18,$R$15,IF(ROUNDDOWN(D172,0)=$Q$15,$S$15,$R$15))</f>
        <v>■レベル　3</v>
      </c>
      <c r="E175" s="523" t="s">
        <v>666</v>
      </c>
      <c r="F175" s="582"/>
      <c r="G175" s="582"/>
      <c r="H175" s="582"/>
      <c r="I175" s="582"/>
      <c r="J175" s="582"/>
      <c r="K175" s="582"/>
      <c r="L175" s="582"/>
      <c r="M175" s="583"/>
      <c r="N175" s="1"/>
      <c r="O175" s="142"/>
      <c r="P175" s="584">
        <f>$Q$15</f>
        <v>3</v>
      </c>
      <c r="Q175" s="142"/>
      <c r="R175" s="300"/>
      <c r="S175" s="144"/>
      <c r="T175" s="144"/>
      <c r="U175" s="584">
        <f>$Q$15</f>
        <v>3</v>
      </c>
      <c r="V175" s="300"/>
      <c r="W175" s="300"/>
      <c r="X175" s="144"/>
    </row>
    <row r="176" spans="1:25" ht="24" customHeight="1">
      <c r="A176" s="1"/>
      <c r="B176" s="564"/>
      <c r="C176" s="133"/>
      <c r="D176" s="35" t="str">
        <f>IF(D172=$Q$18,$R$16,IF(ROUNDDOWN(D172,0)=$Q$16,$S$16,$R$16))</f>
        <v>　レベル　4</v>
      </c>
      <c r="E176" s="2417" t="s">
        <v>1193</v>
      </c>
      <c r="F176" s="2524"/>
      <c r="G176" s="2524"/>
      <c r="H176" s="2524"/>
      <c r="I176" s="2524"/>
      <c r="J176" s="2524"/>
      <c r="K176" s="2524"/>
      <c r="L176" s="2524"/>
      <c r="M176" s="2525"/>
      <c r="N176" s="1"/>
      <c r="O176" s="142"/>
      <c r="P176" s="584">
        <f>$Q$16</f>
        <v>4</v>
      </c>
      <c r="Q176" s="142"/>
      <c r="R176" s="300"/>
      <c r="S176" s="144"/>
      <c r="T176" s="144"/>
      <c r="U176" s="584">
        <f>$Q$16</f>
        <v>4</v>
      </c>
      <c r="V176" s="300"/>
      <c r="W176" s="300"/>
      <c r="X176" s="144"/>
    </row>
    <row r="177" spans="1:25" ht="24" customHeight="1">
      <c r="A177" s="1"/>
      <c r="B177" s="564"/>
      <c r="C177" s="133"/>
      <c r="D177" s="33" t="str">
        <f>IF(D172=$Q$18,$R$17,IF(ROUNDDOWN(D172,0)=$Q$17,$S$17,$R$17))</f>
        <v>　レベル　5</v>
      </c>
      <c r="E177" s="2414" t="s">
        <v>1194</v>
      </c>
      <c r="F177" s="2526"/>
      <c r="G177" s="2526"/>
      <c r="H177" s="2526"/>
      <c r="I177" s="2526"/>
      <c r="J177" s="2526"/>
      <c r="K177" s="2526"/>
      <c r="L177" s="2526"/>
      <c r="M177" s="2527"/>
      <c r="N177" s="1"/>
      <c r="O177" s="142"/>
      <c r="P177" s="584">
        <f>$Q$17</f>
        <v>5</v>
      </c>
      <c r="Q177" s="142"/>
      <c r="R177" s="300"/>
      <c r="S177" s="144"/>
      <c r="T177" s="144"/>
      <c r="U177" s="584">
        <f>$Q$17</f>
        <v>5</v>
      </c>
      <c r="V177" s="300"/>
      <c r="W177" s="300"/>
      <c r="X177" s="144"/>
    </row>
    <row r="178" spans="1:25" s="144" customFormat="1" ht="8.25" customHeight="1">
      <c r="A178" s="51"/>
      <c r="B178" s="164"/>
      <c r="C178" s="607"/>
      <c r="D178" s="309"/>
      <c r="E178" s="309"/>
      <c r="F178" s="1"/>
      <c r="G178" s="1"/>
      <c r="H178" s="1"/>
      <c r="I178" s="1"/>
      <c r="J178" s="1"/>
      <c r="K178" s="1"/>
      <c r="L178" s="1"/>
      <c r="M178" s="1"/>
      <c r="N178" s="150"/>
      <c r="P178" s="584" t="s">
        <v>60</v>
      </c>
      <c r="Q178" s="324" t="s">
        <v>82</v>
      </c>
      <c r="R178" s="4"/>
      <c r="S178" s="4"/>
      <c r="T178" s="132"/>
    </row>
    <row r="179" spans="1:25" s="144" customFormat="1" ht="21" customHeight="1">
      <c r="A179" s="51"/>
      <c r="B179" s="164"/>
      <c r="C179" s="607"/>
      <c r="E179" s="781" t="s">
        <v>3</v>
      </c>
      <c r="F179" s="782"/>
      <c r="G179" s="1201"/>
      <c r="H179" s="1201"/>
      <c r="I179" s="2388"/>
      <c r="J179" s="2389"/>
      <c r="K179" s="2389"/>
      <c r="L179" s="2389"/>
      <c r="M179" s="2390"/>
      <c r="N179" s="150"/>
      <c r="P179" s="615"/>
      <c r="Q179" s="324"/>
      <c r="R179" s="4"/>
      <c r="S179" s="4"/>
      <c r="T179" s="132"/>
      <c r="U179" s="615"/>
      <c r="V179" s="132"/>
      <c r="W179" s="132"/>
      <c r="X179" s="132"/>
      <c r="Y179" s="132"/>
    </row>
    <row r="180" spans="1:25" s="144" customFormat="1" ht="16.5" customHeight="1" thickBot="1">
      <c r="A180" s="51"/>
      <c r="B180" s="164"/>
      <c r="C180" s="607"/>
      <c r="E180" s="152" t="s">
        <v>1077</v>
      </c>
      <c r="F180" s="417"/>
      <c r="G180" s="417"/>
      <c r="H180" s="417"/>
      <c r="I180" s="1786"/>
      <c r="J180" s="1860"/>
      <c r="K180" s="1860"/>
      <c r="L180" s="1860"/>
      <c r="M180" s="1860"/>
      <c r="N180" s="150"/>
      <c r="P180" s="1861"/>
      <c r="Q180" s="1862"/>
      <c r="R180" s="37"/>
      <c r="S180" s="37"/>
      <c r="U180" s="1861"/>
    </row>
    <row r="181" spans="1:25" s="144" customFormat="1" ht="27" customHeight="1" thickBot="1">
      <c r="A181" s="51"/>
      <c r="B181" s="164"/>
      <c r="C181" s="607"/>
      <c r="E181" s="2186" t="s">
        <v>1002</v>
      </c>
      <c r="F181" s="2397" t="s">
        <v>1095</v>
      </c>
      <c r="G181" s="2521"/>
      <c r="H181" s="2521"/>
      <c r="I181" s="2521"/>
      <c r="J181" s="2521"/>
      <c r="K181" s="2521"/>
      <c r="L181" s="2521"/>
      <c r="M181" s="2468"/>
      <c r="N181" s="150"/>
      <c r="P181" s="1861"/>
      <c r="Q181" s="1862"/>
      <c r="R181" s="37"/>
      <c r="S181" s="37"/>
      <c r="U181" s="1861"/>
    </row>
    <row r="182" spans="1:25" ht="14.25" customHeight="1">
      <c r="A182" s="1"/>
      <c r="B182" s="564"/>
      <c r="C182" s="34"/>
      <c r="D182" s="38"/>
      <c r="E182" s="38"/>
      <c r="F182" s="38"/>
      <c r="G182" s="38"/>
      <c r="H182" s="38"/>
      <c r="I182" s="38"/>
      <c r="J182" s="154"/>
      <c r="K182" s="154"/>
      <c r="L182" s="154"/>
      <c r="M182" s="154"/>
      <c r="N182" s="1"/>
      <c r="O182" s="142"/>
      <c r="P182" s="615"/>
      <c r="Q182" s="142"/>
      <c r="R182" s="300"/>
      <c r="S182" s="144"/>
      <c r="T182" s="144"/>
      <c r="U182" s="615"/>
      <c r="V182" s="300"/>
      <c r="W182" s="300"/>
      <c r="X182" s="144"/>
    </row>
    <row r="183" spans="1:25" ht="14.25" customHeight="1">
      <c r="A183" s="1"/>
      <c r="B183" s="1061">
        <v>2.2999999999999998</v>
      </c>
      <c r="C183" s="147" t="s">
        <v>517</v>
      </c>
      <c r="D183" s="38"/>
      <c r="E183" s="38"/>
      <c r="F183" s="38"/>
      <c r="G183" s="38"/>
      <c r="H183" s="38"/>
      <c r="I183" s="38"/>
      <c r="J183" s="154"/>
      <c r="K183" s="154"/>
      <c r="L183" s="154"/>
      <c r="M183" s="154"/>
      <c r="N183" s="1"/>
      <c r="O183" s="142"/>
      <c r="P183" s="615"/>
      <c r="Q183" s="142"/>
      <c r="R183" s="300"/>
      <c r="S183" s="144"/>
      <c r="T183" s="144"/>
      <c r="U183" s="615"/>
      <c r="V183" s="300"/>
      <c r="W183" s="300"/>
      <c r="X183" s="144"/>
    </row>
    <row r="184" spans="1:25" s="327" customFormat="1" ht="17.25" customHeight="1" thickBot="1">
      <c r="A184" s="22"/>
      <c r="D184" s="147"/>
      <c r="E184" s="302"/>
      <c r="F184" s="302"/>
      <c r="G184" s="302"/>
      <c r="H184" s="302"/>
      <c r="I184" s="150"/>
      <c r="J184" s="414"/>
      <c r="K184" s="414"/>
      <c r="L184" s="176" t="s">
        <v>2</v>
      </c>
      <c r="M184" s="173">
        <f>重み!M75</f>
        <v>0.33</v>
      </c>
      <c r="N184" s="22"/>
      <c r="O184" s="144" t="str">
        <f>C183</f>
        <v>施工段階</v>
      </c>
      <c r="P184" s="144">
        <f t="shared" ref="P184:X184" si="3">D184</f>
        <v>0</v>
      </c>
      <c r="Q184" s="144">
        <f t="shared" si="3"/>
        <v>0</v>
      </c>
      <c r="R184" s="144">
        <f t="shared" si="3"/>
        <v>0</v>
      </c>
      <c r="S184" s="144">
        <f t="shared" si="3"/>
        <v>0</v>
      </c>
      <c r="T184" s="144">
        <f t="shared" si="3"/>
        <v>0</v>
      </c>
      <c r="U184" s="144">
        <f t="shared" si="3"/>
        <v>0</v>
      </c>
      <c r="V184" s="144">
        <f t="shared" si="3"/>
        <v>0</v>
      </c>
      <c r="W184" s="144">
        <f t="shared" si="3"/>
        <v>0</v>
      </c>
      <c r="X184" s="144" t="str">
        <f t="shared" si="3"/>
        <v>重み係数＝</v>
      </c>
    </row>
    <row r="185" spans="1:25" ht="17.25" customHeight="1" thickBot="1">
      <c r="A185" s="1"/>
      <c r="B185" s="564"/>
      <c r="C185" s="133"/>
      <c r="D185" s="1049">
        <v>3</v>
      </c>
      <c r="E185" s="2391" t="s">
        <v>391</v>
      </c>
      <c r="F185" s="2392"/>
      <c r="G185" s="2392"/>
      <c r="H185" s="2392"/>
      <c r="I185" s="2392"/>
      <c r="J185" s="2392"/>
      <c r="K185" s="2392"/>
      <c r="L185" s="2392"/>
      <c r="M185" s="2393"/>
      <c r="N185" s="1"/>
      <c r="O185" s="142"/>
      <c r="P185" s="144"/>
      <c r="Q185" s="142"/>
      <c r="R185" s="144"/>
      <c r="S185" s="144"/>
      <c r="T185" s="144"/>
      <c r="U185" s="144"/>
      <c r="V185" s="144"/>
      <c r="W185" s="144"/>
      <c r="X185" s="144"/>
    </row>
    <row r="186" spans="1:25" ht="17.25" customHeight="1">
      <c r="A186" s="1"/>
      <c r="B186" s="564"/>
      <c r="C186" s="133"/>
      <c r="D186" s="32" t="str">
        <f>IF(D185=$Q$18,$R$13,IF(ROUNDDOWN(D185,0)=$Q$13,$S$13,$R$13))</f>
        <v>　レベル　1</v>
      </c>
      <c r="E186" s="522" t="s">
        <v>383</v>
      </c>
      <c r="F186" s="580"/>
      <c r="G186" s="580"/>
      <c r="H186" s="580"/>
      <c r="I186" s="580"/>
      <c r="J186" s="580"/>
      <c r="K186" s="580"/>
      <c r="L186" s="580"/>
      <c r="M186" s="581"/>
      <c r="N186" s="1"/>
      <c r="O186" s="142"/>
      <c r="P186" s="584" t="s">
        <v>48</v>
      </c>
      <c r="Q186" s="142"/>
      <c r="R186" s="300"/>
      <c r="S186" s="144"/>
      <c r="T186" s="144"/>
      <c r="U186" s="584">
        <f>$Q$13</f>
        <v>1</v>
      </c>
      <c r="V186" s="300"/>
      <c r="W186" s="300"/>
      <c r="X186" s="144"/>
    </row>
    <row r="187" spans="1:25" ht="17.25" customHeight="1">
      <c r="A187" s="1"/>
      <c r="B187" s="564"/>
      <c r="C187" s="133"/>
      <c r="D187" s="35" t="str">
        <f>IF(D185=$Q$18,$R$14,IF(ROUNDDOWN(D185,0)=$Q$14,$S$14,$R$14))</f>
        <v>　レベル　2</v>
      </c>
      <c r="E187" s="523" t="s">
        <v>383</v>
      </c>
      <c r="F187" s="582"/>
      <c r="G187" s="582"/>
      <c r="H187" s="582"/>
      <c r="I187" s="582"/>
      <c r="J187" s="582"/>
      <c r="K187" s="582"/>
      <c r="L187" s="582"/>
      <c r="M187" s="583"/>
      <c r="N187" s="1"/>
      <c r="O187" s="142"/>
      <c r="P187" s="584" t="s">
        <v>48</v>
      </c>
      <c r="Q187" s="142"/>
      <c r="R187" s="300"/>
      <c r="S187" s="144"/>
      <c r="T187" s="144"/>
      <c r="U187" s="584">
        <f>$Q$14</f>
        <v>2</v>
      </c>
      <c r="V187" s="300"/>
      <c r="W187" s="300"/>
      <c r="X187" s="144"/>
    </row>
    <row r="188" spans="1:25" ht="17.25" customHeight="1">
      <c r="A188" s="1"/>
      <c r="B188" s="564"/>
      <c r="C188" s="133"/>
      <c r="D188" s="35" t="str">
        <f>IF(D185=$Q$18,$R$15,IF(ROUNDDOWN(D185,0)=$Q$15,$S$15,$R$15))</f>
        <v>■レベル　3</v>
      </c>
      <c r="E188" s="523" t="s">
        <v>1195</v>
      </c>
      <c r="F188" s="582"/>
      <c r="G188" s="582"/>
      <c r="H188" s="582"/>
      <c r="I188" s="582"/>
      <c r="J188" s="582"/>
      <c r="K188" s="582"/>
      <c r="L188" s="582"/>
      <c r="M188" s="583"/>
      <c r="N188" s="1"/>
      <c r="O188" s="142"/>
      <c r="P188" s="584">
        <f>$Q$15</f>
        <v>3</v>
      </c>
      <c r="Q188" s="142"/>
      <c r="R188" s="300"/>
      <c r="S188" s="144"/>
      <c r="T188" s="144"/>
      <c r="U188" s="584">
        <f>$Q$15</f>
        <v>3</v>
      </c>
      <c r="V188" s="300"/>
      <c r="W188" s="300"/>
      <c r="X188" s="144"/>
    </row>
    <row r="189" spans="1:25" ht="17.25" customHeight="1">
      <c r="A189" s="1"/>
      <c r="B189" s="564"/>
      <c r="C189" s="133"/>
      <c r="D189" s="35" t="str">
        <f>IF(D185=$Q$18,$R$16,IF(ROUNDDOWN(D185,0)=$Q$16,$S$16,$R$16))</f>
        <v>　レベル　4</v>
      </c>
      <c r="E189" s="535" t="s">
        <v>383</v>
      </c>
      <c r="F189" s="585"/>
      <c r="G189" s="585"/>
      <c r="H189" s="585"/>
      <c r="I189" s="585"/>
      <c r="J189" s="585"/>
      <c r="K189" s="585"/>
      <c r="L189" s="585"/>
      <c r="M189" s="586"/>
      <c r="N189" s="1"/>
      <c r="O189" s="142"/>
      <c r="P189" s="584" t="s">
        <v>48</v>
      </c>
      <c r="Q189" s="142"/>
      <c r="R189" s="300"/>
      <c r="S189" s="144"/>
      <c r="T189" s="144"/>
      <c r="U189" s="584">
        <f>$Q$16</f>
        <v>4</v>
      </c>
      <c r="V189" s="300"/>
      <c r="W189" s="300"/>
      <c r="X189" s="144"/>
    </row>
    <row r="190" spans="1:25" ht="24" customHeight="1">
      <c r="A190" s="1"/>
      <c r="B190" s="564"/>
      <c r="C190" s="133"/>
      <c r="D190" s="33" t="str">
        <f>IF(D185=$Q$18,$R$17,IF(ROUNDDOWN(D185,0)=$Q$17,$S$17,$R$17))</f>
        <v>　レベル　5</v>
      </c>
      <c r="E190" s="2403" t="s">
        <v>1196</v>
      </c>
      <c r="F190" s="2404"/>
      <c r="G190" s="2404"/>
      <c r="H190" s="2404"/>
      <c r="I190" s="2404"/>
      <c r="J190" s="2404"/>
      <c r="K190" s="2404"/>
      <c r="L190" s="2404"/>
      <c r="M190" s="2405"/>
      <c r="N190" s="1"/>
      <c r="O190" s="142"/>
      <c r="P190" s="584">
        <f>$Q$17</f>
        <v>5</v>
      </c>
      <c r="Q190" s="142"/>
      <c r="R190" s="300"/>
      <c r="S190" s="144"/>
      <c r="T190" s="144"/>
      <c r="U190" s="584">
        <f>$Q$17</f>
        <v>5</v>
      </c>
      <c r="V190" s="300"/>
      <c r="W190" s="300"/>
      <c r="X190" s="144"/>
    </row>
    <row r="191" spans="1:25" s="144" customFormat="1" ht="8.25" customHeight="1">
      <c r="A191" s="51"/>
      <c r="B191" s="164"/>
      <c r="C191" s="607"/>
      <c r="D191" s="309"/>
      <c r="E191" s="309"/>
      <c r="F191" s="1"/>
      <c r="G191" s="1"/>
      <c r="H191" s="1"/>
      <c r="I191" s="1"/>
      <c r="J191" s="1"/>
      <c r="K191" s="1"/>
      <c r="L191" s="1"/>
      <c r="M191" s="1"/>
      <c r="N191" s="150"/>
      <c r="P191" s="584" t="s">
        <v>60</v>
      </c>
      <c r="Q191" s="324" t="s">
        <v>82</v>
      </c>
      <c r="R191" s="4"/>
      <c r="S191" s="4"/>
      <c r="T191" s="132"/>
    </row>
    <row r="192" spans="1:25" s="144" customFormat="1" ht="21" customHeight="1">
      <c r="A192" s="51"/>
      <c r="B192" s="164"/>
      <c r="C192" s="607"/>
      <c r="E192" s="781" t="s">
        <v>3</v>
      </c>
      <c r="F192" s="782"/>
      <c r="G192" s="1201"/>
      <c r="H192" s="1201"/>
      <c r="I192" s="2388"/>
      <c r="J192" s="2389"/>
      <c r="K192" s="2389"/>
      <c r="L192" s="2389"/>
      <c r="M192" s="2390"/>
      <c r="N192" s="150"/>
      <c r="P192" s="615"/>
      <c r="Q192" s="324"/>
      <c r="R192" s="4"/>
      <c r="S192" s="4"/>
      <c r="T192" s="132"/>
      <c r="U192" s="615"/>
      <c r="V192" s="132"/>
      <c r="W192" s="132"/>
      <c r="X192" s="132"/>
      <c r="Y192" s="132"/>
    </row>
    <row r="193" spans="1:25" ht="19.5" customHeight="1">
      <c r="A193" s="1"/>
      <c r="B193" s="564"/>
      <c r="C193" s="164"/>
      <c r="D193" s="164"/>
      <c r="E193" s="164"/>
      <c r="F193" s="164"/>
      <c r="G193" s="164"/>
      <c r="H193" s="164"/>
      <c r="I193" s="164"/>
      <c r="J193" s="164"/>
      <c r="K193" s="164"/>
      <c r="L193" s="164"/>
      <c r="M193" s="164"/>
      <c r="N193" s="164"/>
      <c r="O193" s="142"/>
      <c r="P193" s="615"/>
      <c r="Q193" s="142"/>
      <c r="R193" s="300"/>
      <c r="S193" s="144"/>
      <c r="T193" s="144"/>
      <c r="U193" s="615"/>
      <c r="V193" s="300"/>
      <c r="W193" s="300"/>
      <c r="X193" s="144"/>
    </row>
    <row r="194" spans="1:25" ht="16.5" customHeight="1">
      <c r="A194" s="1"/>
      <c r="B194" s="307">
        <v>3</v>
      </c>
      <c r="C194" s="147" t="s">
        <v>535</v>
      </c>
      <c r="D194" s="311"/>
      <c r="E194" s="311"/>
      <c r="F194" s="311"/>
      <c r="G194" s="311"/>
      <c r="H194" s="311"/>
      <c r="I194" s="311"/>
      <c r="J194" s="158"/>
      <c r="K194" s="158"/>
      <c r="L194" s="158"/>
      <c r="M194" s="158"/>
      <c r="N194" s="1"/>
    </row>
    <row r="195" spans="1:25" ht="16.5" customHeight="1">
      <c r="A195" s="1"/>
      <c r="B195" s="1061">
        <v>3.1</v>
      </c>
      <c r="C195" s="147" t="s">
        <v>518</v>
      </c>
      <c r="D195" s="311"/>
      <c r="E195" s="311"/>
      <c r="F195" s="311"/>
      <c r="G195" s="311"/>
      <c r="H195" s="311"/>
      <c r="I195" s="311"/>
      <c r="J195" s="158"/>
      <c r="K195" s="158"/>
      <c r="L195" s="158"/>
      <c r="M195" s="158"/>
      <c r="N195" s="1"/>
    </row>
    <row r="196" spans="1:25" s="327" customFormat="1" ht="16.5" customHeight="1" thickBot="1">
      <c r="A196" s="22"/>
      <c r="D196" s="147"/>
      <c r="E196" s="147"/>
      <c r="F196" s="150"/>
      <c r="G196" s="150"/>
      <c r="H196" s="150"/>
      <c r="I196" s="150"/>
      <c r="J196" s="150"/>
      <c r="K196" s="150"/>
      <c r="L196" s="176" t="s">
        <v>2</v>
      </c>
      <c r="M196" s="173">
        <f>重み!M77</f>
        <v>1</v>
      </c>
      <c r="N196" s="22"/>
      <c r="O196" s="144" t="str">
        <f>C195</f>
        <v>使用材料の情報提供</v>
      </c>
      <c r="P196" s="144">
        <f t="shared" ref="P196:X196" si="4">D196</f>
        <v>0</v>
      </c>
      <c r="Q196" s="144">
        <f t="shared" si="4"/>
        <v>0</v>
      </c>
      <c r="R196" s="144">
        <f t="shared" si="4"/>
        <v>0</v>
      </c>
      <c r="S196" s="144">
        <f t="shared" si="4"/>
        <v>0</v>
      </c>
      <c r="T196" s="144">
        <f t="shared" si="4"/>
        <v>0</v>
      </c>
      <c r="U196" s="144">
        <f t="shared" si="4"/>
        <v>0</v>
      </c>
      <c r="V196" s="144">
        <f t="shared" si="4"/>
        <v>0</v>
      </c>
      <c r="W196" s="144">
        <f t="shared" si="4"/>
        <v>0</v>
      </c>
      <c r="X196" s="144" t="str">
        <f t="shared" si="4"/>
        <v>重み係数＝</v>
      </c>
    </row>
    <row r="197" spans="1:25" ht="16.5" customHeight="1" thickBot="1">
      <c r="A197" s="1"/>
      <c r="B197" s="564"/>
      <c r="C197" s="133"/>
      <c r="D197" s="1049">
        <v>3</v>
      </c>
      <c r="E197" s="2391" t="s">
        <v>391</v>
      </c>
      <c r="F197" s="2392"/>
      <c r="G197" s="2392"/>
      <c r="H197" s="2392"/>
      <c r="I197" s="2392"/>
      <c r="J197" s="2392"/>
      <c r="K197" s="2392"/>
      <c r="L197" s="2392"/>
      <c r="M197" s="2393"/>
      <c r="N197" s="1"/>
      <c r="O197" s="142"/>
      <c r="P197" s="144"/>
      <c r="Q197" s="142"/>
      <c r="R197" s="144"/>
      <c r="S197" s="144"/>
      <c r="T197" s="144"/>
      <c r="U197" s="144"/>
      <c r="V197" s="144"/>
      <c r="W197" s="144"/>
      <c r="X197" s="144"/>
    </row>
    <row r="198" spans="1:25" ht="16.5" customHeight="1">
      <c r="A198" s="1"/>
      <c r="B198" s="564"/>
      <c r="C198" s="133"/>
      <c r="D198" s="32" t="str">
        <f>IF(D197=$Q$18,$R$13,IF(ROUNDDOWN(D197,0)=$Q$13,$S$13,$R$13))</f>
        <v>　レベル　1</v>
      </c>
      <c r="E198" s="522" t="s">
        <v>383</v>
      </c>
      <c r="F198" s="580"/>
      <c r="G198" s="580"/>
      <c r="H198" s="580"/>
      <c r="I198" s="580"/>
      <c r="J198" s="580"/>
      <c r="K198" s="580"/>
      <c r="L198" s="580"/>
      <c r="M198" s="581"/>
      <c r="N198" s="1"/>
      <c r="O198" s="142"/>
      <c r="P198" s="584" t="s">
        <v>48</v>
      </c>
      <c r="Q198" s="142"/>
      <c r="R198" s="300"/>
      <c r="S198" s="144"/>
      <c r="T198" s="144"/>
      <c r="U198" s="584">
        <f>$Q$13</f>
        <v>1</v>
      </c>
      <c r="V198" s="300"/>
      <c r="W198" s="300"/>
      <c r="X198" s="144"/>
    </row>
    <row r="199" spans="1:25" ht="16.5" customHeight="1">
      <c r="A199" s="1"/>
      <c r="B199" s="564"/>
      <c r="C199" s="133"/>
      <c r="D199" s="35" t="str">
        <f>IF(D197=$Q$18,$R$14,IF(ROUNDDOWN(D197,0)=$Q$14,$S$14,$R$14))</f>
        <v>　レベル　2</v>
      </c>
      <c r="E199" s="523" t="s">
        <v>383</v>
      </c>
      <c r="F199" s="582"/>
      <c r="G199" s="582"/>
      <c r="H199" s="582"/>
      <c r="I199" s="582"/>
      <c r="J199" s="582"/>
      <c r="K199" s="582"/>
      <c r="L199" s="582"/>
      <c r="M199" s="583"/>
      <c r="N199" s="1"/>
      <c r="O199" s="142"/>
      <c r="P199" s="584" t="s">
        <v>48</v>
      </c>
      <c r="Q199" s="142"/>
      <c r="R199" s="300"/>
      <c r="S199" s="144"/>
      <c r="T199" s="144"/>
      <c r="U199" s="584">
        <f>$Q$14</f>
        <v>2</v>
      </c>
      <c r="V199" s="300"/>
      <c r="W199" s="300"/>
      <c r="X199" s="144"/>
    </row>
    <row r="200" spans="1:25" ht="16.5" customHeight="1">
      <c r="A200" s="1"/>
      <c r="B200" s="564"/>
      <c r="C200" s="133"/>
      <c r="D200" s="35" t="str">
        <f>IF(D197=$Q$18,$R$15,IF(ROUNDDOWN(D197,0)=$Q$15,$S$15,$R$15))</f>
        <v>■レベル　3</v>
      </c>
      <c r="E200" s="523" t="s">
        <v>1197</v>
      </c>
      <c r="F200" s="582"/>
      <c r="G200" s="582"/>
      <c r="H200" s="582"/>
      <c r="I200" s="582"/>
      <c r="J200" s="582"/>
      <c r="K200" s="582"/>
      <c r="L200" s="582"/>
      <c r="M200" s="583"/>
      <c r="N200" s="1"/>
      <c r="O200" s="142"/>
      <c r="P200" s="584">
        <f>$Q$15</f>
        <v>3</v>
      </c>
      <c r="Q200" s="142"/>
      <c r="R200" s="300"/>
      <c r="S200" s="144"/>
      <c r="T200" s="144"/>
      <c r="U200" s="584">
        <f>$Q$15</f>
        <v>3</v>
      </c>
      <c r="V200" s="300"/>
      <c r="W200" s="300"/>
      <c r="X200" s="144"/>
    </row>
    <row r="201" spans="1:25" ht="16.5" customHeight="1">
      <c r="A201" s="1"/>
      <c r="B201" s="564"/>
      <c r="C201" s="133"/>
      <c r="D201" s="35" t="str">
        <f>IF(D197=$Q$18,$R$16,IF(ROUNDDOWN(D197,0)=$Q$16,$S$16,$R$16))</f>
        <v>　レベル　4</v>
      </c>
      <c r="E201" s="535" t="s">
        <v>383</v>
      </c>
      <c r="F201" s="585"/>
      <c r="G201" s="585"/>
      <c r="H201" s="585"/>
      <c r="I201" s="585"/>
      <c r="J201" s="585"/>
      <c r="K201" s="585"/>
      <c r="L201" s="585"/>
      <c r="M201" s="586"/>
      <c r="N201" s="1"/>
      <c r="O201" s="142"/>
      <c r="P201" s="584" t="s">
        <v>48</v>
      </c>
      <c r="Q201" s="142"/>
      <c r="R201" s="300"/>
      <c r="S201" s="144"/>
      <c r="T201" s="144"/>
      <c r="U201" s="584">
        <f>$Q$16</f>
        <v>4</v>
      </c>
      <c r="V201" s="300"/>
      <c r="W201" s="300"/>
      <c r="X201" s="144"/>
    </row>
    <row r="202" spans="1:25" ht="16.5" customHeight="1">
      <c r="A202" s="1"/>
      <c r="B202" s="564"/>
      <c r="C202" s="133"/>
      <c r="D202" s="33" t="str">
        <f>IF(D197=$Q$18,$R$17,IF(ROUNDDOWN(D197,0)=$Q$17,$S$17,$R$17))</f>
        <v>　レベル　5</v>
      </c>
      <c r="E202" s="561" t="s">
        <v>1198</v>
      </c>
      <c r="F202" s="587"/>
      <c r="G202" s="587"/>
      <c r="H202" s="587"/>
      <c r="I202" s="587"/>
      <c r="J202" s="587"/>
      <c r="K202" s="587"/>
      <c r="L202" s="587"/>
      <c r="M202" s="588"/>
      <c r="N202" s="1"/>
      <c r="O202" s="142"/>
      <c r="P202" s="584">
        <f>$Q$17</f>
        <v>5</v>
      </c>
      <c r="Q202" s="142"/>
      <c r="R202" s="300"/>
      <c r="S202" s="144"/>
      <c r="T202" s="144"/>
      <c r="U202" s="584">
        <f>$Q$17</f>
        <v>5</v>
      </c>
      <c r="V202" s="300"/>
      <c r="W202" s="300"/>
      <c r="X202" s="144"/>
    </row>
    <row r="203" spans="1:25" s="144" customFormat="1" ht="8.25" customHeight="1">
      <c r="A203" s="51"/>
      <c r="B203" s="164"/>
      <c r="C203" s="607"/>
      <c r="D203" s="309"/>
      <c r="E203" s="309"/>
      <c r="F203" s="1"/>
      <c r="G203" s="1"/>
      <c r="H203" s="1"/>
      <c r="I203" s="1"/>
      <c r="J203" s="1"/>
      <c r="K203" s="1"/>
      <c r="L203" s="1"/>
      <c r="M203" s="1"/>
      <c r="N203" s="150"/>
      <c r="P203" s="584" t="s">
        <v>60</v>
      </c>
      <c r="Q203" s="324" t="s">
        <v>82</v>
      </c>
      <c r="R203" s="4"/>
      <c r="S203" s="4"/>
      <c r="T203" s="132"/>
    </row>
    <row r="204" spans="1:25" s="144" customFormat="1" ht="21" customHeight="1">
      <c r="A204" s="51"/>
      <c r="B204" s="164"/>
      <c r="C204" s="607"/>
      <c r="E204" s="781" t="s">
        <v>3</v>
      </c>
      <c r="F204" s="782"/>
      <c r="G204" s="1201"/>
      <c r="H204" s="1201"/>
      <c r="I204" s="2388"/>
      <c r="J204" s="2389"/>
      <c r="K204" s="2389"/>
      <c r="L204" s="2389"/>
      <c r="M204" s="2390"/>
      <c r="N204" s="150"/>
      <c r="P204" s="615"/>
      <c r="Q204" s="324"/>
      <c r="R204" s="4"/>
      <c r="S204" s="4"/>
      <c r="T204" s="132"/>
      <c r="U204" s="615"/>
      <c r="V204" s="132"/>
      <c r="W204" s="132"/>
      <c r="X204" s="132"/>
      <c r="Y204" s="132"/>
    </row>
    <row r="205" spans="1:25"/>
  </sheetData>
  <sheetProtection password="CC47" sheet="1" objects="1" scenarios="1"/>
  <mergeCells count="55">
    <mergeCell ref="I24:M24"/>
    <mergeCell ref="F26:M26"/>
    <mergeCell ref="E44:M44"/>
    <mergeCell ref="E176:M176"/>
    <mergeCell ref="E177:M177"/>
    <mergeCell ref="E159:M159"/>
    <mergeCell ref="E164:M164"/>
    <mergeCell ref="E172:M172"/>
    <mergeCell ref="J146:M146"/>
    <mergeCell ref="F152:M152"/>
    <mergeCell ref="F154:M154"/>
    <mergeCell ref="F168:M168"/>
    <mergeCell ref="I166:M166"/>
    <mergeCell ref="I150:M150"/>
    <mergeCell ref="G148:I148"/>
    <mergeCell ref="J148:M148"/>
    <mergeCell ref="F181:M181"/>
    <mergeCell ref="I204:M204"/>
    <mergeCell ref="I192:M192"/>
    <mergeCell ref="I179:M179"/>
    <mergeCell ref="E197:M197"/>
    <mergeCell ref="E190:M190"/>
    <mergeCell ref="E185:M185"/>
    <mergeCell ref="J147:M147"/>
    <mergeCell ref="L1:M1"/>
    <mergeCell ref="I73:M73"/>
    <mergeCell ref="G126:L126"/>
    <mergeCell ref="G127:L127"/>
    <mergeCell ref="F132:M132"/>
    <mergeCell ref="E78:M78"/>
    <mergeCell ref="G87:J87"/>
    <mergeCell ref="G88:J88"/>
    <mergeCell ref="I92:J92"/>
    <mergeCell ref="K92:L92"/>
    <mergeCell ref="E12:M12"/>
    <mergeCell ref="E30:M30"/>
    <mergeCell ref="G94:L94"/>
    <mergeCell ref="F101:M101"/>
    <mergeCell ref="F103:M103"/>
    <mergeCell ref="E60:M60"/>
    <mergeCell ref="G52:M52"/>
    <mergeCell ref="G19:M19"/>
    <mergeCell ref="G143:M143"/>
    <mergeCell ref="J145:M145"/>
    <mergeCell ref="J144:M144"/>
    <mergeCell ref="G125:L125"/>
    <mergeCell ref="E136:M136"/>
    <mergeCell ref="I123:J123"/>
    <mergeCell ref="K123:L123"/>
    <mergeCell ref="E108:M108"/>
    <mergeCell ref="I130:M130"/>
    <mergeCell ref="I99:M99"/>
    <mergeCell ref="G53:M53"/>
    <mergeCell ref="I56:M56"/>
    <mergeCell ref="I41:M41"/>
  </mergeCells>
  <phoneticPr fontId="4"/>
  <conditionalFormatting sqref="D185 D172 D12 D197 D159">
    <cfRule type="expression" dxfId="54" priority="14" stopIfTrue="1">
      <formula>AND(OR(D12&lt;1,D12&gt;5),D12&lt;&gt;P18)</formula>
    </cfRule>
    <cfRule type="expression" dxfId="53" priority="15" stopIfTrue="1">
      <formula>M11&gt;0</formula>
    </cfRule>
  </conditionalFormatting>
  <conditionalFormatting sqref="D77">
    <cfRule type="expression" dxfId="52" priority="16" stopIfTrue="1">
      <formula>AND(OR(D77&lt;1,D77&gt;5),D77&lt;&gt;U68)</formula>
    </cfRule>
    <cfRule type="expression" dxfId="51" priority="17" stopIfTrue="1">
      <formula>M75&gt;0</formula>
    </cfRule>
  </conditionalFormatting>
  <conditionalFormatting sqref="D11 D8:D9 D29">
    <cfRule type="expression" dxfId="50" priority="18" stopIfTrue="1">
      <formula>AND(OR(D8&lt;1,D8&gt;5),D8&lt;&gt;#REF!)</formula>
    </cfRule>
    <cfRule type="expression" dxfId="49" priority="19" stopIfTrue="1">
      <formula>M7&gt;0</formula>
    </cfRule>
  </conditionalFormatting>
  <conditionalFormatting sqref="D30">
    <cfRule type="expression" dxfId="48" priority="20" stopIfTrue="1">
      <formula>AND(OR(D30&lt;1,D30&gt;5),D30&lt;&gt;P39)</formula>
    </cfRule>
    <cfRule type="expression" dxfId="47" priority="21" stopIfTrue="1">
      <formula>M29&gt;0</formula>
    </cfRule>
  </conditionalFormatting>
  <conditionalFormatting sqref="D107">
    <cfRule type="expression" dxfId="46" priority="22" stopIfTrue="1">
      <formula>AND(OR(D107&lt;1,D107&gt;5),D107&lt;&gt;U93)</formula>
    </cfRule>
    <cfRule type="expression" dxfId="45" priority="23" stopIfTrue="1">
      <formula>M105&gt;0</formula>
    </cfRule>
  </conditionalFormatting>
  <conditionalFormatting sqref="I204 I192 I179 I166">
    <cfRule type="expression" dxfId="44" priority="24" stopIfTrue="1">
      <formula>M158&gt;0</formula>
    </cfRule>
  </conditionalFormatting>
  <conditionalFormatting sqref="E144:E146">
    <cfRule type="expression" dxfId="43" priority="29" stopIfTrue="1">
      <formula>$M$135&gt;0</formula>
    </cfRule>
  </conditionalFormatting>
  <conditionalFormatting sqref="E117:E122 E87:E91 I99">
    <cfRule type="expression" dxfId="42" priority="30" stopIfTrue="1">
      <formula>$M$77&gt;0</formula>
    </cfRule>
  </conditionalFormatting>
  <conditionalFormatting sqref="E52:E53 I56">
    <cfRule type="expression" dxfId="41" priority="31" stopIfTrue="1">
      <formula>$M$43&gt;0</formula>
    </cfRule>
  </conditionalFormatting>
  <conditionalFormatting sqref="E68:E70 I73">
    <cfRule type="expression" dxfId="40" priority="32" stopIfTrue="1">
      <formula>$M$59&gt;0</formula>
    </cfRule>
  </conditionalFormatting>
  <conditionalFormatting sqref="E19:E21 I24 E38">
    <cfRule type="expression" dxfId="39" priority="33" stopIfTrue="1">
      <formula>$M$11&gt;0</formula>
    </cfRule>
  </conditionalFormatting>
  <conditionalFormatting sqref="G8:I8">
    <cfRule type="expression" dxfId="38" priority="34" stopIfTrue="1">
      <formula>$P$8&lt;&gt;1</formula>
    </cfRule>
  </conditionalFormatting>
  <conditionalFormatting sqref="I41">
    <cfRule type="expression" dxfId="37" priority="35" stopIfTrue="1">
      <formula>$M$29&gt;0</formula>
    </cfRule>
  </conditionalFormatting>
  <conditionalFormatting sqref="I130">
    <cfRule type="expression" dxfId="36" priority="36" stopIfTrue="1">
      <formula>$M$107&gt;0</formula>
    </cfRule>
  </conditionalFormatting>
  <conditionalFormatting sqref="I150">
    <cfRule type="expression" dxfId="35" priority="37" stopIfTrue="1">
      <formula>$M$135&gt;0</formula>
    </cfRule>
  </conditionalFormatting>
  <conditionalFormatting sqref="E37">
    <cfRule type="expression" dxfId="34" priority="62" stopIfTrue="1">
      <formula>$M$29&gt;0</formula>
    </cfRule>
  </conditionalFormatting>
  <conditionalFormatting sqref="E26">
    <cfRule type="expression" dxfId="33" priority="13" stopIfTrue="1">
      <formula>AND(M11&gt;0,D12&gt;=3)</formula>
    </cfRule>
  </conditionalFormatting>
  <conditionalFormatting sqref="E95:E96">
    <cfRule type="expression" dxfId="32" priority="12" stopIfTrue="1">
      <formula>$M$77&gt;0</formula>
    </cfRule>
  </conditionalFormatting>
  <conditionalFormatting sqref="E101">
    <cfRule type="expression" dxfId="31" priority="11" stopIfTrue="1">
      <formula>M77&gt;0</formula>
    </cfRule>
  </conditionalFormatting>
  <conditionalFormatting sqref="E103">
    <cfRule type="expression" dxfId="30" priority="10" stopIfTrue="1">
      <formula>M77&gt;0</formula>
    </cfRule>
  </conditionalFormatting>
  <conditionalFormatting sqref="E126:E127">
    <cfRule type="expression" dxfId="29" priority="9" stopIfTrue="1">
      <formula>$M$107&gt;0</formula>
    </cfRule>
  </conditionalFormatting>
  <conditionalFormatting sqref="E132">
    <cfRule type="expression" dxfId="28" priority="8" stopIfTrue="1">
      <formula>M107&gt;0</formula>
    </cfRule>
  </conditionalFormatting>
  <conditionalFormatting sqref="E148">
    <cfRule type="expression" dxfId="27" priority="7" stopIfTrue="1">
      <formula>$M$135&gt;0</formula>
    </cfRule>
  </conditionalFormatting>
  <conditionalFormatting sqref="E147">
    <cfRule type="expression" dxfId="26" priority="6" stopIfTrue="1">
      <formula>$M$135&gt;0</formula>
    </cfRule>
  </conditionalFormatting>
  <conditionalFormatting sqref="E154">
    <cfRule type="expression" dxfId="25" priority="5" stopIfTrue="1">
      <formula>AND(M135&gt;0,D136&gt;=3)</formula>
    </cfRule>
  </conditionalFormatting>
  <conditionalFormatting sqref="E152">
    <cfRule type="expression" dxfId="24" priority="4" stopIfTrue="1">
      <formula>AND(M135&gt;0,D136&gt;=3)</formula>
    </cfRule>
  </conditionalFormatting>
  <conditionalFormatting sqref="E168">
    <cfRule type="expression" dxfId="23" priority="3" stopIfTrue="1">
      <formula>AND(M158&gt;0,D159&gt;=5)</formula>
    </cfRule>
  </conditionalFormatting>
  <conditionalFormatting sqref="E181">
    <cfRule type="expression" dxfId="22" priority="2" stopIfTrue="1">
      <formula>AND(M171&gt;0,D172&gt;=4)</formula>
    </cfRule>
  </conditionalFormatting>
  <conditionalFormatting sqref="D136">
    <cfRule type="expression" dxfId="21" priority="1" stopIfTrue="1">
      <formula>M135&gt;0</formula>
    </cfRule>
  </conditionalFormatting>
  <dataValidations count="10">
    <dataValidation type="list" allowBlank="1" showInputMessage="1" sqref="D159 D197 D172 D185 D12 D136">
      <formula1>P13:P18</formula1>
    </dataValidation>
    <dataValidation type="list" allowBlank="1" showInputMessage="1" showErrorMessage="1" sqref="E117:E122">
      <formula1>P117:S117</formula1>
    </dataValidation>
    <dataValidation type="list" allowBlank="1" showInputMessage="1" sqref="D30">
      <formula1>$P$31:$P$36</formula1>
    </dataValidation>
    <dataValidation type="textLength" operator="lessThanOrEqual" allowBlank="1" showInputMessage="1" showErrorMessage="1" sqref="WVN151:WVP151 F204:H204 WVN25:WVP25 WVN167:WVP167 WVN100:WVP100 F56:H56 F73:H73 WVN131:WVP131 F192:H192 F41:H41 F24:H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F99:H100 F102:H102 JB102:JD102 SX102:SZ102 ACT102:ACV102 AMP102:AMR102 AWL102:AWN102 BGH102:BGJ102 BQD102:BQF102 BZZ102:CAB102 CJV102:CJX102 CTR102:CTT102 DDN102:DDP102 DNJ102:DNL102 DXF102:DXH102 EHB102:EHD102 EQX102:EQZ102 FAT102:FAV102 FKP102:FKR102 FUL102:FUN102 GEH102:GEJ102 GOD102:GOF102 GXZ102:GYB102 HHV102:HHX102 HRR102:HRT102 IBN102:IBP102 ILJ102:ILL102 IVF102:IVH102 JFB102:JFD102 JOX102:JOZ102 JYT102:JYV102 KIP102:KIR102 KSL102:KSN102 LCH102:LCJ102 LMD102:LMF102 LVZ102:LWB102 MFV102:MFX102 MPR102:MPT102 MZN102:MZP102 NJJ102:NJL102 NTF102:NTH102 ODB102:ODD102 OMX102:OMZ102 OWT102:OWV102 PGP102:PGR102 PQL102:PQN102 QAH102:QAJ102 QKD102:QKF102 QTZ102:QUB102 RDV102:RDX102 RNR102:RNT102 RXN102:RXP102 SHJ102:SHL102 SRF102:SRH102 TBB102:TBD102 TKX102:TKZ102 TUT102:TUV102 UEP102:UER102 UOL102:UON102 UYH102:UYJ102 VID102:VIF102 VRZ102:VSB102 WBV102:WBX102 WLR102:WLT102 WVN102:WVP102 JB100:JD100 SX100:SZ100 ACT100:ACV100 AMP100:AMR100 AWL100:AWN100 BGH100:BGJ100 BQD100:BQF100 BZZ100:CAB100 CJV100:CJX100 CTR100:CTT100 DDN100:DDP100 DNJ100:DNL100 DXF100:DXH100 EHB100:EHD100 EQX100:EQZ100 FAT100:FAV100 FKP100:FKR100 FUL100:FUN100 GEH100:GEJ100 GOD100:GOF100 GXZ100:GYB100 HHV100:HHX100 HRR100:HRT100 IBN100:IBP100 ILJ100:ILL100 IVF100:IVH100 JFB100:JFD100 JOX100:JOZ100 JYT100:JYV100 KIP100:KIR100 KSL100:KSN100 LCH100:LCJ100 LMD100:LMF100 LVZ100:LWB100 MFV100:MFX100 MPR100:MPT100 MZN100:MZP100 NJJ100:NJL100 NTF100:NTH100 ODB100:ODD100 OMX100:OMZ100 OWT100:OWV100 PGP100:PGR100 PQL100:PQN100 QAH100:QAJ100 QKD100:QKF100 QTZ100:QUB100 RDV100:RDX100 RNR100:RNT100 RXN100:RXP100 SHJ100:SHL100 SRF100:SRH100 TBB100:TBD100 TKX100:TKZ100 TUT100:TUV100 UEP100:UER100 UOL100:UON100 UYH100:UYJ100 VID100:VIF100 VRZ100:VSB100 WBV100:WBX100 WLR100:WLT100 F130:H131 JB131:JD131 SX131:SZ131 ACT131:ACV131 AMP131:AMR131 AWL131:AWN131 BGH131:BGJ131 BQD131:BQF131 BZZ131:CAB131 CJV131:CJX131 CTR131:CTT131 DDN131:DDP131 DNJ131:DNL131 DXF131:DXH131 EHB131:EHD131 EQX131:EQZ131 FAT131:FAV131 FKP131:FKR131 FUL131:FUN131 GEH131:GEJ131 GOD131:GOF131 GXZ131:GYB131 HHV131:HHX131 HRR131:HRT131 IBN131:IBP131 ILJ131:ILL131 IVF131:IVH131 JFB131:JFD131 JOX131:JOZ131 JYT131:JYV131 KIP131:KIR131 KSL131:KSN131 LCH131:LCJ131 LMD131:LMF131 LVZ131:LWB131 MFV131:MFX131 MPR131:MPT131 MZN131:MZP131 NJJ131:NJL131 NTF131:NTH131 ODB131:ODD131 OMX131:OMZ131 OWT131:OWV131 PGP131:PGR131 PQL131:PQN131 QAH131:QAJ131 QKD131:QKF131 QTZ131:QUB131 RDV131:RDX131 RNR131:RNT131 RXN131:RXP131 SHJ131:SHL131 SRF131:SRH131 TBB131:TBD131 TKX131:TKZ131 TUT131:TUV131 UEP131:UER131 UOL131:UON131 UYH131:UYJ131 VID131:VIF131 VRZ131:VSB131 WBV131:WBX131 WLR131:WLT131 F150:H151 F153:H153 JB153:JD153 SX153:SZ153 ACT153:ACV153 AMP153:AMR153 AWL153:AWN153 BGH153:BGJ153 BQD153:BQF153 BZZ153:CAB153 CJV153:CJX153 CTR153:CTT153 DDN153:DDP153 DNJ153:DNL153 DXF153:DXH153 EHB153:EHD153 EQX153:EQZ153 FAT153:FAV153 FKP153:FKR153 FUL153:FUN153 GEH153:GEJ153 GOD153:GOF153 GXZ153:GYB153 HHV153:HHX153 HRR153:HRT153 IBN153:IBP153 ILJ153:ILL153 IVF153:IVH153 JFB153:JFD153 JOX153:JOZ153 JYT153:JYV153 KIP153:KIR153 KSL153:KSN153 LCH153:LCJ153 LMD153:LMF153 LVZ153:LWB153 MFV153:MFX153 MPR153:MPT153 MZN153:MZP153 NJJ153:NJL153 NTF153:NTH153 ODB153:ODD153 OMX153:OMZ153 OWT153:OWV153 PGP153:PGR153 PQL153:PQN153 QAH153:QAJ153 QKD153:QKF153 QTZ153:QUB153 RDV153:RDX153 RNR153:RNT153 RXN153:RXP153 SHJ153:SHL153 SRF153:SRH153 TBB153:TBD153 TKX153:TKZ153 TUT153:TUV153 UEP153:UER153 UOL153:UON153 UYH153:UYJ153 VID153:VIF153 VRZ153:VSB153 WBV153:WBX153 WLR153:WLT153 WVN153:WVP153 JB151:JD151 SX151:SZ151 ACT151:ACV151 AMP151:AMR151 AWL151:AWN151 BGH151:BGJ151 BQD151:BQF151 BZZ151:CAB151 CJV151:CJX151 CTR151:CTT151 DDN151:DDP151 DNJ151:DNL151 DXF151:DXH151 EHB151:EHD151 EQX151:EQZ151 FAT151:FAV151 FKP151:FKR151 FUL151:FUN151 GEH151:GEJ151 GOD151:GOF151 GXZ151:GYB151 HHV151:HHX151 HRR151:HRT151 IBN151:IBP151 ILJ151:ILL151 IVF151:IVH151 JFB151:JFD151 JOX151:JOZ151 JYT151:JYV151 KIP151:KIR151 KSL151:KSN151 LCH151:LCJ151 LMD151:LMF151 LVZ151:LWB151 MFV151:MFX151 MPR151:MPT151 MZN151:MZP151 NJJ151:NJL151 NTF151:NTH151 ODB151:ODD151 OMX151:OMZ151 OWT151:OWV151 PGP151:PGR151 PQL151:PQN151 QAH151:QAJ151 QKD151:QKF151 QTZ151:QUB151 RDV151:RDX151 RNR151:RNT151 RXN151:RXP151 SHJ151:SHL151 SRF151:SRH151 TBB151:TBD151 TKX151:TKZ151 TUT151:TUV151 UEP151:UER151 UOL151:UON151 UYH151:UYJ151 VID151:VIF151 VRZ151:VSB151 WBV151:WBX151 WLR151:WLT151 F166:H167 JB167:JD167 SX167:SZ167 ACT167:ACV167 AMP167:AMR167 AWL167:AWN167 BGH167:BGJ167 BQD167:BQF167 BZZ167:CAB167 CJV167:CJX167 CTR167:CTT167 DDN167:DDP167 DNJ167:DNL167 DXF167:DXH167 EHB167:EHD167 EQX167:EQZ167 FAT167:FAV167 FKP167:FKR167 FUL167:FUN167 GEH167:GEJ167 GOD167:GOF167 GXZ167:GYB167 HHV167:HHX167 HRR167:HRT167 IBN167:IBP167 ILJ167:ILL167 IVF167:IVH167 JFB167:JFD167 JOX167:JOZ167 JYT167:JYV167 KIP167:KIR167 KSL167:KSN167 LCH167:LCJ167 LMD167:LMF167 LVZ167:LWB167 MFV167:MFX167 MPR167:MPT167 MZN167:MZP167 NJJ167:NJL167 NTF167:NTH167 ODB167:ODD167 OMX167:OMZ167 OWT167:OWV167 PGP167:PGR167 PQL167:PQN167 QAH167:QAJ167 QKD167:QKF167 QTZ167:QUB167 RDV167:RDX167 RNR167:RNT167 RXN167:RXP167 SHJ167:SHL167 SRF167:SRH167 TBB167:TBD167 TKX167:TKZ167 TUT167:TUV167 UEP167:UER167 UOL167:UON167 UYH167:UYJ167 VID167:VIF167 VRZ167:VSB167 WBV167:WBX167 WLR167:WLT167 F179:H180 JB180:JD180 SX180:SZ180 ACT180:ACV180 AMP180:AMR180 AWL180:AWN180 BGH180:BGJ180 BQD180:BQF180 BZZ180:CAB180 CJV180:CJX180 CTR180:CTT180 DDN180:DDP180 DNJ180:DNL180 DXF180:DXH180 EHB180:EHD180 EQX180:EQZ180 FAT180:FAV180 FKP180:FKR180 FUL180:FUN180 GEH180:GEJ180 GOD180:GOF180 GXZ180:GYB180 HHV180:HHX180 HRR180:HRT180 IBN180:IBP180 ILJ180:ILL180 IVF180:IVH180 JFB180:JFD180 JOX180:JOZ180 JYT180:JYV180 KIP180:KIR180 KSL180:KSN180 LCH180:LCJ180 LMD180:LMF180 LVZ180:LWB180 MFV180:MFX180 MPR180:MPT180 MZN180:MZP180 NJJ180:NJL180 NTF180:NTH180 ODB180:ODD180 OMX180:OMZ180 OWT180:OWV180 PGP180:PGR180 PQL180:PQN180 QAH180:QAJ180 QKD180:QKF180 QTZ180:QUB180 RDV180:RDX180 RNR180:RNT180 RXN180:RXP180 SHJ180:SHL180 SRF180:SRH180 TBB180:TBD180 TKX180:TKZ180 TUT180:TUV180 UEP180:UER180 UOL180:UON180 UYH180:UYJ180 VID180:VIF180 VRZ180:VSB180 WBV180:WBX180 WLR180:WLT180 WVN180:WVP180">
      <formula1>30</formula1>
    </dataValidation>
    <dataValidation type="list" allowBlank="1" showInputMessage="1" showErrorMessage="1" sqref="E68:E70 E38 E21 E19 E52:E53 E144:E148 JA148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formula1>$U$3:$U$4</formula1>
    </dataValidation>
    <dataValidation allowBlank="1" showInputMessage="1" sqref="D107:D108 D11 D77:D78 D29 D8:D9"/>
    <dataValidation type="list" allowBlank="1" showInputMessage="1" showErrorMessage="1" sqref="E87:E91">
      <formula1>$P$87:$S$87</formula1>
    </dataValidation>
    <dataValidation type="list" allowBlank="1" showInputMessage="1" showErrorMessage="1" sqref="E20 E37">
      <formula1>$W$3:$W$5</formula1>
    </dataValidation>
    <dataValidation type="textLength" operator="lessThanOrEqual" allowBlank="1" showInputMessage="1" showErrorMessage="1" sqref="I41 I204 I192 WVQ167 WVQ153 WVQ131 WVQ102 WVQ25 I73 I56 I24: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I99:I100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I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I130:I131 JE131 TA131 ACW131 AMS131 AWO131 BGK131 BQG131 CAC131 CJY131 CTU131 DDQ131 DNM131 DXI131 EHE131 ERA131 FAW131 FKS131 FUO131 GEK131 GOG131 GYC131 HHY131 HRU131 IBQ131 ILM131 IVI131 JFE131 JPA131 JYW131 KIS131 KSO131 LCK131 LMG131 LWC131 MFY131 MPU131 MZQ131 NJM131 NTI131 ODE131 ONA131 OWW131 PGS131 PQO131 QAK131 QKG131 QUC131 RDY131 RNU131 RXQ131 SHM131 SRI131 TBE131 TLA131 TUW131 UES131 UOO131 UYK131 VIG131 VSC131 WBY131 WLU131 I150:I151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I153 JE153 TA153 ACW153 AMS153 AWO153 BGK153 BQG153 CAC153 CJY153 CTU153 DDQ153 DNM153 DXI153 EHE153 ERA153 FAW153 FKS153 FUO153 GEK153 GOG153 GYC153 HHY153 HRU153 IBQ153 ILM153 IVI153 JFE153 JPA153 JYW153 KIS153 KSO153 LCK153 LMG153 LWC153 MFY153 MPU153 MZQ153 NJM153 NTI153 ODE153 ONA153 OWW153 PGS153 PQO153 QAK153 QKG153 QUC153 RDY153 RNU153 RXQ153 SHM153 SRI153 TBE153 TLA153 TUW153 UES153 UOO153 UYK153 VIG153 VSC153 WBY153 WLU153 I166:I167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I179:I180 JE180 TA180 ACW180 AMS180 AWO180 BGK180 BQG180 CAC180 CJY180 CTU180 DDQ180 DNM180 DXI180 EHE180 ERA180 FAW180 FKS180 FUO180 GEK180 GOG180 GYC180 HHY180 HRU180 IBQ180 ILM180 IVI180 JFE180 JPA180 JYW180 KIS180 KSO180 LCK180 LMG180 LWC180 MFY180 MPU180 MZQ180 NJM180 NTI180 ODE180 ONA180 OWW180 PGS180 PQO180 QAK180 QKG180 QUC180 RDY180 RNU180 RXQ180 SHM180 SRI180 TBE180 TLA180 TUW180 UES180 UOO180 UYK180 VIG180 VSC180 WBY180 WLU180 WVQ180">
      <formula1>35</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95:E96 JA95:JA96 SW95:SW96 ACS95:ACS96 AMO95:AMO96 AWK95:AWK96 BGG95:BGG96 BQC95:BQC96 BZY95:BZY96 CJU95:CJU96 CTQ95:CTQ96 DDM95:DDM96 DNI95:DNI96 DXE95:DXE96 EHA95:EHA96 EQW95:EQW96 FAS95:FAS96 FKO95:FKO96 FUK95:FUK96 GEG95:GEG96 GOC95:GOC96 GXY95:GXY96 HHU95:HHU96 HRQ95:HRQ96 IBM95:IBM96 ILI95:ILI96 IVE95:IVE96 JFA95:JFA96 JOW95:JOW96 JYS95:JYS96 KIO95:KIO96 KSK95:KSK96 LCG95:LCG96 LMC95:LMC96 LVY95:LVY96 MFU95:MFU96 MPQ95:MPQ96 MZM95:MZM96 NJI95:NJI96 NTE95:NTE96 ODA95:ODA96 OMW95:OMW96 OWS95:OWS96 PGO95:PGO96 PQK95:PQK96 QAG95:QAG96 QKC95:QKC96 QTY95:QTY96 RDU95:RDU96 RNQ95:RNQ96 RXM95:RXM96 SHI95:SHI96 SRE95:SRE96 TBA95:TBA96 TKW95:TKW96 TUS95:TUS96 UEO95:UEO96 UOK95:UOK96 UYG95:UYG96 VIC95:VIC96 VRY95:VRY96 WBU95:WBU96 WLQ95:WLQ96 WVM95:WVM96 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126:E127 JA126:JA127 SW126:SW127 ACS126:ACS127 AMO126:AMO127 AWK126:AWK127 BGG126:BGG127 BQC126:BQC127 BZY126:BZY127 CJU126:CJU127 CTQ126:CTQ127 DDM126:DDM127 DNI126:DNI127 DXE126:DXE127 EHA126:EHA127 EQW126:EQW127 FAS126:FAS127 FKO126:FKO127 FUK126:FUK127 GEG126:GEG127 GOC126:GOC127 GXY126:GXY127 HHU126:HHU127 HRQ126:HRQ127 IBM126:IBM127 ILI126:ILI127 IVE126:IVE127 JFA126:JFA127 JOW126:JOW127 JYS126:JYS127 KIO126:KIO127 KSK126:KSK127 LCG126:LCG127 LMC126:LMC127 LVY126:LVY127 MFU126:MFU127 MPQ126:MPQ127 MZM126:MZM127 NJI126:NJI127 NTE126:NTE127 ODA126:ODA127 OMW126:OMW127 OWS126:OWS127 PGO126:PGO127 PQK126:PQK127 QAG126:QAG127 QKC126:QKC127 QTY126:QTY127 RDU126:RDU127 RNQ126:RNQ127 RXM126:RXM127 SHI126:SHI127 SRE126:SRE127 TBA126:TBA127 TKW126:TKW127 TUS126:TUS127 UEO126:UEO127 UOK126:UOK127 UYG126:UYG127 VIC126:VIC127 VRY126:VRY127 WBU126:WBU127 WLQ126:WLQ127 WVM126:WVM127 E132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E152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E154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E168 JA168 SW168 ACS168 AMO168 AWK168 BGG168 BQC168 BZY168 CJU168 CTQ168 DDM168 DNI168 DXE168 EHA168 EQW168 FAS168 FKO168 FUK168 GEG168 GOC168 GXY168 HHU168 HRQ168 IBM168 ILI168 IVE168 JFA168 JOW168 JYS168 KIO168 KSK168 LCG168 LMC168 LVY168 MFU168 MPQ168 MZM168 NJI168 NTE168 ODA168 OMW168 OWS168 PGO168 PQK168 QAG168 QKC168 QTY168 RDU168 RNQ168 RXM168 SHI168 SRE168 TBA168 TKW168 TUS168 UEO168 UOK168 UYG168 VIC168 VRY168 WBU168 WLQ168 WVM168 E181 JA181 SW181 ACS181 AMO181 AWK181 BGG181 BQC181 BZY181 CJU181 CTQ181 DDM181 DNI181 DXE181 EHA181 EQW181 FAS181 FKO181 FUK181 GEG181 GOC181 GXY181 HHU181 HRQ181 IBM181 ILI181 IVE181 JFA181 JOW181 JYS181 KIO181 KSK181 LCG181 LMC181 LVY181 MFU181 MPQ181 MZM181 NJI181 NTE181 ODA181 OMW181 OWS181 PGO181 PQK181 QAG181 QKC181 QTY181 RDU181 RNQ181 RXM181 SHI181 SRE181 TBA181 TKW181 TUS181 UEO181 UOK181 UYG181 VIC181 VRY181 WBU181 WLQ181 WVM181">
      <formula1>"○,　"</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3" manualBreakCount="3">
    <brk id="73" max="13" man="1"/>
    <brk id="133" max="13" man="1"/>
    <brk id="154" max="13" man="1"/>
  </rowBreaks>
  <drawing r:id="rId2"/>
</worksheet>
</file>

<file path=xl/worksheets/sheet11.xml><?xml version="1.0" encoding="utf-8"?>
<worksheet xmlns="http://schemas.openxmlformats.org/spreadsheetml/2006/main" xmlns:r="http://schemas.openxmlformats.org/officeDocument/2006/relationships">
  <sheetPr codeName="Sheet12">
    <pageSetUpPr autoPageBreaks="0" fitToPage="1"/>
  </sheetPr>
  <dimension ref="A1:IU500"/>
  <sheetViews>
    <sheetView showGridLines="0" zoomScaleNormal="90" workbookViewId="0">
      <selection activeCell="D87" sqref="D87"/>
    </sheetView>
  </sheetViews>
  <sheetFormatPr defaultColWidth="0" defaultRowHeight="15.75" zeroHeight="1"/>
  <cols>
    <col min="1" max="1" width="1.25" style="4" customWidth="1"/>
    <col min="2" max="2" width="4.625" style="567" customWidth="1"/>
    <col min="3" max="3" width="1.5" style="300" customWidth="1"/>
    <col min="4" max="13" width="11.625" style="300" customWidth="1"/>
    <col min="14" max="14" width="1.625" style="300" customWidth="1"/>
    <col min="15" max="15" width="3.75" style="300" hidden="1" customWidth="1"/>
    <col min="16" max="16" width="8" style="300" hidden="1" customWidth="1"/>
    <col min="17" max="255" width="9" style="4" hidden="1" customWidth="1"/>
    <col min="256" max="16384" width="1.875" style="4" hidden="1"/>
  </cols>
  <sheetData>
    <row r="1" spans="1:25" s="144" customFormat="1" ht="22.5" customHeight="1">
      <c r="A1" s="51"/>
      <c r="B1" s="164"/>
      <c r="C1" s="150"/>
      <c r="D1" s="155"/>
      <c r="E1" s="51"/>
      <c r="F1" s="51"/>
      <c r="G1" s="51"/>
      <c r="H1" s="51"/>
      <c r="I1" s="51"/>
      <c r="J1" s="51"/>
      <c r="K1" s="1047" t="s">
        <v>342</v>
      </c>
      <c r="L1" s="2387">
        <f>メイン!C10</f>
        <v>0</v>
      </c>
      <c r="M1" s="2387"/>
      <c r="N1" s="150"/>
      <c r="O1" s="142"/>
      <c r="P1" s="142"/>
      <c r="Q1" s="142"/>
    </row>
    <row r="2" spans="1:25" s="144" customFormat="1" ht="9" customHeight="1" thickBot="1">
      <c r="A2" s="51"/>
      <c r="B2" s="164"/>
      <c r="C2" s="150"/>
      <c r="D2" s="155"/>
      <c r="E2" s="51"/>
      <c r="F2" s="51"/>
      <c r="G2" s="51"/>
      <c r="H2" s="51"/>
      <c r="I2" s="51"/>
      <c r="J2" s="51"/>
      <c r="K2" s="1046"/>
      <c r="L2" s="360"/>
      <c r="M2" s="47"/>
      <c r="N2" s="150"/>
      <c r="O2" s="142"/>
      <c r="P2" s="142"/>
      <c r="Q2" s="142"/>
    </row>
    <row r="3" spans="1:25" s="324" customFormat="1" ht="21.75" thickBot="1">
      <c r="A3" s="3"/>
      <c r="B3" s="298" t="s">
        <v>971</v>
      </c>
      <c r="C3" s="151"/>
      <c r="D3" s="163"/>
      <c r="E3" s="51"/>
      <c r="F3" s="163"/>
      <c r="H3" s="146"/>
      <c r="I3" s="52" t="s">
        <v>1104</v>
      </c>
      <c r="J3" s="553"/>
      <c r="K3" s="554"/>
      <c r="L3" s="28"/>
      <c r="M3" s="377" t="str">
        <f>IF(メイン!E31=0,"",メイン!E31)</f>
        <v/>
      </c>
      <c r="P3" s="315" t="s">
        <v>83</v>
      </c>
      <c r="Q3" s="37"/>
      <c r="R3" s="323">
        <v>0</v>
      </c>
      <c r="S3" s="551"/>
      <c r="T3" s="318"/>
      <c r="U3" s="318"/>
      <c r="V3" s="318" t="str">
        <f>メイン!N31</f>
        <v>基本設計段階</v>
      </c>
      <c r="W3" s="132"/>
      <c r="X3" s="132"/>
    </row>
    <row r="4" spans="1:25" s="324" customFormat="1" ht="3.75" customHeight="1">
      <c r="A4" s="3"/>
      <c r="B4" s="562"/>
      <c r="C4" s="151"/>
      <c r="D4" s="163"/>
      <c r="E4" s="51"/>
      <c r="F4" s="163"/>
      <c r="G4" s="163"/>
      <c r="H4" s="163"/>
      <c r="I4" s="163"/>
      <c r="J4" s="163"/>
      <c r="K4" s="28"/>
      <c r="L4" s="163"/>
      <c r="M4" s="163"/>
      <c r="N4" s="395"/>
      <c r="O4" s="395"/>
      <c r="P4" s="144"/>
      <c r="Q4" s="37"/>
      <c r="R4" s="323">
        <v>1</v>
      </c>
      <c r="S4" s="551"/>
      <c r="T4" s="318" t="s">
        <v>84</v>
      </c>
      <c r="U4" s="318" t="s">
        <v>85</v>
      </c>
      <c r="V4" s="318" t="str">
        <f>メイン!N32</f>
        <v>実施設計段階</v>
      </c>
      <c r="W4" s="132"/>
      <c r="X4" s="132"/>
    </row>
    <row r="5" spans="1:25">
      <c r="A5" s="1"/>
      <c r="B5" s="1061">
        <v>1</v>
      </c>
      <c r="C5" s="147" t="s">
        <v>549</v>
      </c>
      <c r="D5" s="153"/>
      <c r="E5" s="4"/>
      <c r="F5" s="4"/>
      <c r="G5" s="4"/>
      <c r="H5" s="4"/>
      <c r="I5" s="4"/>
      <c r="J5" s="4"/>
      <c r="K5" s="4"/>
      <c r="L5" s="4"/>
      <c r="M5" s="4"/>
      <c r="N5" s="324"/>
      <c r="O5" s="324"/>
      <c r="P5" s="324"/>
      <c r="Q5" s="37"/>
      <c r="S5" s="301"/>
      <c r="T5" s="132"/>
      <c r="U5" s="132"/>
      <c r="V5" s="132"/>
      <c r="W5" s="132"/>
      <c r="X5" s="132"/>
      <c r="Y5" s="132"/>
    </row>
    <row r="6" spans="1:25">
      <c r="A6" s="1"/>
      <c r="B6" s="618">
        <v>1.1000000000000001</v>
      </c>
      <c r="C6" s="147" t="s">
        <v>250</v>
      </c>
      <c r="D6" s="153"/>
      <c r="E6" s="4"/>
      <c r="F6" s="4"/>
      <c r="G6" s="4"/>
      <c r="H6" s="4"/>
      <c r="I6" s="4"/>
      <c r="J6" s="4"/>
      <c r="K6" s="4"/>
      <c r="L6" s="4"/>
      <c r="M6" s="4"/>
      <c r="N6" s="324"/>
      <c r="O6" s="324"/>
      <c r="P6" s="324"/>
      <c r="Q6" s="37"/>
      <c r="S6" s="301"/>
      <c r="T6" s="132"/>
      <c r="U6" s="132"/>
      <c r="V6" s="132"/>
      <c r="W6" s="132"/>
      <c r="X6" s="132"/>
      <c r="Y6" s="132"/>
    </row>
    <row r="7" spans="1:25" ht="16.5" thickBot="1">
      <c r="A7" s="1"/>
      <c r="B7" s="565"/>
      <c r="C7" s="4"/>
      <c r="D7" s="155"/>
      <c r="E7" s="155"/>
      <c r="F7" s="51"/>
      <c r="G7" s="525"/>
      <c r="H7" s="51"/>
      <c r="I7" s="51"/>
      <c r="J7" s="51"/>
      <c r="K7" s="150"/>
      <c r="L7" s="176" t="s">
        <v>2</v>
      </c>
      <c r="M7" s="373">
        <f>重み!M80</f>
        <v>0.33333333333333331</v>
      </c>
      <c r="N7" s="324"/>
      <c r="O7" s="324">
        <f t="shared" ref="O7:V7" si="0">C7</f>
        <v>0</v>
      </c>
      <c r="P7" s="324">
        <f t="shared" si="0"/>
        <v>0</v>
      </c>
      <c r="Q7" s="324">
        <f t="shared" si="0"/>
        <v>0</v>
      </c>
      <c r="R7" s="324">
        <f t="shared" si="0"/>
        <v>0</v>
      </c>
      <c r="S7" s="324">
        <f t="shared" si="0"/>
        <v>0</v>
      </c>
      <c r="T7" s="324">
        <f t="shared" si="0"/>
        <v>0</v>
      </c>
      <c r="U7" s="324">
        <f t="shared" si="0"/>
        <v>0</v>
      </c>
      <c r="V7" s="324">
        <f t="shared" si="0"/>
        <v>0</v>
      </c>
      <c r="W7" s="324" t="str">
        <f>L7</f>
        <v>重み係数＝</v>
      </c>
      <c r="X7" s="324">
        <f>M7</f>
        <v>0.33333333333333331</v>
      </c>
      <c r="Y7" s="132"/>
    </row>
    <row r="8" spans="1:25" ht="16.5" thickBot="1">
      <c r="A8" s="1"/>
      <c r="B8" s="562"/>
      <c r="C8" s="131"/>
      <c r="D8" s="322" t="e">
        <f>M16</f>
        <v>#VALUE!</v>
      </c>
      <c r="E8" s="2391" t="s">
        <v>391</v>
      </c>
      <c r="F8" s="2392"/>
      <c r="G8" s="2392"/>
      <c r="H8" s="2392"/>
      <c r="I8" s="2392"/>
      <c r="J8" s="2392"/>
      <c r="K8" s="2392"/>
      <c r="L8" s="2392"/>
      <c r="M8" s="2393"/>
      <c r="N8" s="324"/>
      <c r="O8" s="324"/>
      <c r="P8" s="324"/>
      <c r="Q8" s="324"/>
      <c r="R8" s="324"/>
      <c r="S8" s="324"/>
      <c r="T8" s="132"/>
      <c r="U8" s="132"/>
      <c r="V8" s="132"/>
      <c r="W8" s="132"/>
      <c r="X8" s="132"/>
      <c r="Y8" s="132"/>
    </row>
    <row r="9" spans="1:25">
      <c r="A9" s="1"/>
      <c r="B9" s="562"/>
      <c r="C9" s="164"/>
      <c r="D9" s="2473" t="s">
        <v>251</v>
      </c>
      <c r="E9" s="2485" t="s">
        <v>1205</v>
      </c>
      <c r="F9" s="2564"/>
      <c r="G9" s="2564"/>
      <c r="H9" s="2564"/>
      <c r="I9" s="2564"/>
      <c r="J9" s="2564"/>
      <c r="K9" s="2564"/>
      <c r="L9" s="2564"/>
      <c r="M9" s="2565"/>
      <c r="N9" s="324"/>
      <c r="O9" s="324"/>
      <c r="P9" s="382">
        <f>$Q$64</f>
        <v>1</v>
      </c>
      <c r="Q9" s="316">
        <v>1</v>
      </c>
      <c r="R9" s="319" t="s">
        <v>459</v>
      </c>
      <c r="S9" s="317" t="s">
        <v>77</v>
      </c>
      <c r="T9" s="132"/>
      <c r="U9" s="382">
        <f>$Q$64</f>
        <v>1</v>
      </c>
      <c r="V9" s="132"/>
      <c r="W9" s="132"/>
      <c r="X9" s="132"/>
      <c r="Y9" s="132"/>
    </row>
    <row r="10" spans="1:25">
      <c r="A10" s="1"/>
      <c r="B10" s="562"/>
      <c r="C10" s="164"/>
      <c r="D10" s="2562"/>
      <c r="E10" s="2433"/>
      <c r="F10" s="2566"/>
      <c r="G10" s="2566"/>
      <c r="H10" s="2566"/>
      <c r="I10" s="2566"/>
      <c r="J10" s="2566"/>
      <c r="K10" s="2566"/>
      <c r="L10" s="2566"/>
      <c r="M10" s="2567"/>
      <c r="N10" s="324"/>
      <c r="O10" s="324"/>
      <c r="P10" s="382">
        <v>2</v>
      </c>
      <c r="Q10" s="316">
        <v>2</v>
      </c>
      <c r="R10" s="319" t="s">
        <v>460</v>
      </c>
      <c r="S10" s="317" t="s">
        <v>78</v>
      </c>
      <c r="T10" s="132"/>
      <c r="U10" s="382">
        <f>$Q$65</f>
        <v>2</v>
      </c>
      <c r="V10" s="132"/>
      <c r="W10" s="132"/>
      <c r="X10" s="132"/>
      <c r="Y10" s="132"/>
    </row>
    <row r="11" spans="1:25">
      <c r="A11" s="1"/>
      <c r="B11" s="562"/>
      <c r="C11" s="164"/>
      <c r="D11" s="2562"/>
      <c r="E11" s="2433"/>
      <c r="F11" s="2566"/>
      <c r="G11" s="2566"/>
      <c r="H11" s="2566"/>
      <c r="I11" s="2566"/>
      <c r="J11" s="2566"/>
      <c r="K11" s="2566"/>
      <c r="L11" s="2566"/>
      <c r="M11" s="2567"/>
      <c r="N11" s="324"/>
      <c r="O11" s="324"/>
      <c r="P11" s="382">
        <f>$Q$66</f>
        <v>3</v>
      </c>
      <c r="Q11" s="316">
        <v>3</v>
      </c>
      <c r="R11" s="319" t="s">
        <v>461</v>
      </c>
      <c r="S11" s="317" t="s">
        <v>79</v>
      </c>
      <c r="T11" s="132"/>
      <c r="U11" s="382">
        <f>$Q$66</f>
        <v>3</v>
      </c>
      <c r="V11" s="132"/>
      <c r="W11" s="132"/>
      <c r="X11" s="132"/>
      <c r="Y11" s="132"/>
    </row>
    <row r="12" spans="1:25">
      <c r="A12" s="1"/>
      <c r="B12" s="562"/>
      <c r="C12" s="164"/>
      <c r="D12" s="2562"/>
      <c r="E12" s="2433"/>
      <c r="F12" s="2566"/>
      <c r="G12" s="2566"/>
      <c r="H12" s="2566"/>
      <c r="I12" s="2566"/>
      <c r="J12" s="2566"/>
      <c r="K12" s="2566"/>
      <c r="L12" s="2566"/>
      <c r="M12" s="2567"/>
      <c r="N12" s="324"/>
      <c r="O12" s="324"/>
      <c r="P12" s="382">
        <f>$Q$67</f>
        <v>4</v>
      </c>
      <c r="Q12" s="316">
        <v>4</v>
      </c>
      <c r="R12" s="319" t="s">
        <v>462</v>
      </c>
      <c r="S12" s="317" t="s">
        <v>80</v>
      </c>
      <c r="T12" s="132"/>
      <c r="U12" s="382">
        <f>$Q$67</f>
        <v>4</v>
      </c>
      <c r="V12" s="132"/>
      <c r="W12" s="132"/>
      <c r="X12" s="132"/>
      <c r="Y12" s="132"/>
    </row>
    <row r="13" spans="1:25">
      <c r="A13" s="1"/>
      <c r="B13" s="562"/>
      <c r="C13" s="164"/>
      <c r="D13" s="2563"/>
      <c r="E13" s="2568"/>
      <c r="F13" s="2569"/>
      <c r="G13" s="2569"/>
      <c r="H13" s="2569"/>
      <c r="I13" s="2569"/>
      <c r="J13" s="2569"/>
      <c r="K13" s="2569"/>
      <c r="L13" s="2569"/>
      <c r="M13" s="2570"/>
      <c r="N13" s="324"/>
      <c r="O13" s="324"/>
      <c r="P13" s="382">
        <f>$Q$68</f>
        <v>5</v>
      </c>
      <c r="Q13" s="316">
        <v>5</v>
      </c>
      <c r="R13" s="319" t="s">
        <v>463</v>
      </c>
      <c r="S13" s="317" t="s">
        <v>81</v>
      </c>
      <c r="T13" s="132"/>
      <c r="U13" s="382">
        <f>$Q$68</f>
        <v>5</v>
      </c>
      <c r="V13" s="132"/>
      <c r="W13" s="132"/>
      <c r="X13" s="132"/>
      <c r="Y13" s="132"/>
    </row>
    <row r="14" spans="1:25" ht="16.5" customHeight="1">
      <c r="A14" s="1"/>
      <c r="B14" s="562"/>
      <c r="C14" s="131"/>
      <c r="D14" s="45"/>
      <c r="E14" s="1070" t="s">
        <v>678</v>
      </c>
      <c r="F14" s="45"/>
      <c r="G14" s="45"/>
      <c r="I14" s="1008" t="s">
        <v>449</v>
      </c>
      <c r="N14" s="324"/>
      <c r="O14" s="324"/>
      <c r="P14" s="382" t="s">
        <v>60</v>
      </c>
      <c r="Q14" s="324" t="s">
        <v>82</v>
      </c>
      <c r="T14" s="132"/>
      <c r="U14" s="382" t="str">
        <f>$Q$69</f>
        <v>対象外</v>
      </c>
      <c r="V14" s="132"/>
      <c r="W14" s="132"/>
      <c r="X14" s="132"/>
      <c r="Y14" s="132"/>
    </row>
    <row r="15" spans="1:25" ht="16.5" customHeight="1" thickBot="1">
      <c r="A15" s="1"/>
      <c r="B15" s="562"/>
      <c r="C15" s="131"/>
      <c r="E15" s="1038"/>
      <c r="F15" s="1039" t="s">
        <v>123</v>
      </c>
      <c r="G15" s="1040" t="s">
        <v>283</v>
      </c>
      <c r="H15" s="1041" t="s">
        <v>124</v>
      </c>
      <c r="I15" s="1039" t="s">
        <v>56</v>
      </c>
      <c r="J15" s="1038" t="s">
        <v>675</v>
      </c>
      <c r="M15" s="1009" t="s">
        <v>679</v>
      </c>
      <c r="O15" s="324"/>
      <c r="P15" s="324"/>
      <c r="Q15" s="324"/>
      <c r="R15" s="324"/>
      <c r="S15" s="324"/>
      <c r="T15" s="324"/>
      <c r="U15" s="324"/>
      <c r="V15" s="324"/>
      <c r="W15" s="132"/>
      <c r="X15" s="132"/>
      <c r="Y15" s="132"/>
    </row>
    <row r="16" spans="1:25" ht="16.5" customHeight="1" thickBot="1">
      <c r="A16" s="1"/>
      <c r="B16" s="562"/>
      <c r="C16" s="131"/>
      <c r="E16" s="1037" t="s">
        <v>225</v>
      </c>
      <c r="F16" s="1110">
        <f>CO2計算!P77</f>
        <v>6.04</v>
      </c>
      <c r="G16" s="1110">
        <f>CO2計算!P78</f>
        <v>2.35</v>
      </c>
      <c r="H16" s="1110" t="e">
        <f>CO2計算!P79</f>
        <v>#VALUE!</v>
      </c>
      <c r="I16" s="1111" t="e">
        <f>CO2計算!P80</f>
        <v>#VALUE!</v>
      </c>
      <c r="J16" s="1112">
        <v>1</v>
      </c>
      <c r="L16" s="1005" t="s">
        <v>761</v>
      </c>
      <c r="M16" s="1114" t="e">
        <f>ROUNDDOWN(IF(J17=P19,0,IF(J17&lt;Q18,5,IF(J17&lt;Q17,T18,IF(J17&lt;Q16,T17,1)))),1)</f>
        <v>#VALUE!</v>
      </c>
      <c r="O16" s="324"/>
      <c r="P16" s="1282" t="s">
        <v>34</v>
      </c>
      <c r="Q16" s="1283">
        <v>1.25</v>
      </c>
      <c r="R16" s="578"/>
      <c r="S16" s="1283"/>
      <c r="T16" s="316">
        <v>1</v>
      </c>
      <c r="U16" s="324"/>
      <c r="V16" s="324"/>
      <c r="W16" s="132"/>
      <c r="X16" s="132"/>
      <c r="Y16" s="132"/>
    </row>
    <row r="17" spans="1:25" ht="16.5" customHeight="1">
      <c r="A17" s="1"/>
      <c r="B17" s="562"/>
      <c r="C17" s="131"/>
      <c r="D17" s="4"/>
      <c r="E17" s="1037" t="s">
        <v>396</v>
      </c>
      <c r="F17" s="1110" t="e">
        <f>CO2計算!M77</f>
        <v>#DIV/0!</v>
      </c>
      <c r="G17" s="1110" t="e">
        <f>CO2計算!M78</f>
        <v>#DIV/0!</v>
      </c>
      <c r="H17" s="1110" t="e">
        <f>CO2計算!M79</f>
        <v>#VALUE!</v>
      </c>
      <c r="I17" s="1111" t="e">
        <f>CO2計算!M80</f>
        <v>#DIV/0!</v>
      </c>
      <c r="J17" s="1113" t="e">
        <f>IF(OR(I16=P19,I16=0),P19,I17/I16)</f>
        <v>#VALUE!</v>
      </c>
      <c r="O17" s="324"/>
      <c r="P17" s="1282" t="s">
        <v>35</v>
      </c>
      <c r="Q17" s="1283">
        <v>1</v>
      </c>
      <c r="R17" s="1283">
        <v>-8</v>
      </c>
      <c r="S17" s="1283">
        <v>11</v>
      </c>
      <c r="T17" s="578" t="e">
        <f>R17*J17+S17</f>
        <v>#VALUE!</v>
      </c>
      <c r="U17" s="324"/>
      <c r="V17" s="324"/>
      <c r="W17" s="132"/>
      <c r="X17" s="132"/>
      <c r="Y17" s="132"/>
    </row>
    <row r="18" spans="1:25" ht="20.25" customHeight="1">
      <c r="A18" s="1"/>
      <c r="B18" s="562"/>
      <c r="C18" s="131"/>
      <c r="D18" s="4"/>
      <c r="N18" s="324"/>
      <c r="O18" s="324"/>
      <c r="P18" s="1282" t="s">
        <v>36</v>
      </c>
      <c r="Q18" s="1283">
        <v>0.5</v>
      </c>
      <c r="R18" s="1283">
        <v>-4</v>
      </c>
      <c r="S18" s="578">
        <v>7</v>
      </c>
      <c r="T18" s="578" t="e">
        <f>R18*J17+S18</f>
        <v>#VALUE!</v>
      </c>
      <c r="U18" s="324"/>
      <c r="V18" s="324"/>
      <c r="W18" s="132"/>
      <c r="X18" s="132"/>
      <c r="Y18" s="132"/>
    </row>
    <row r="19" spans="1:25" s="324" customFormat="1" ht="18" customHeight="1">
      <c r="A19" s="3"/>
      <c r="B19" s="164">
        <v>2</v>
      </c>
      <c r="C19" s="36" t="s">
        <v>277</v>
      </c>
      <c r="D19" s="164"/>
      <c r="E19" s="131"/>
      <c r="F19" s="131"/>
      <c r="G19" s="131"/>
      <c r="I19" s="131"/>
      <c r="J19" s="131"/>
      <c r="K19" s="131"/>
      <c r="L19" s="131"/>
      <c r="M19" s="131"/>
      <c r="P19" s="134" t="s">
        <v>163</v>
      </c>
    </row>
    <row r="20" spans="1:25" s="324" customFormat="1">
      <c r="A20" s="3"/>
      <c r="B20" s="618">
        <v>2.1</v>
      </c>
      <c r="C20" s="159" t="s">
        <v>669</v>
      </c>
      <c r="E20" s="553"/>
      <c r="F20" s="553"/>
      <c r="G20" s="553"/>
      <c r="I20" s="553"/>
      <c r="J20" s="553"/>
      <c r="K20" s="553"/>
      <c r="L20" s="553"/>
      <c r="M20" s="553"/>
    </row>
    <row r="21" spans="1:25" s="324" customFormat="1" ht="16.5" customHeight="1" thickBot="1">
      <c r="A21" s="3"/>
      <c r="B21" s="568"/>
      <c r="C21" s="3"/>
      <c r="D21" s="3"/>
      <c r="E21" s="553"/>
      <c r="F21" s="553"/>
      <c r="G21" s="553"/>
      <c r="H21" s="553"/>
      <c r="I21" s="553"/>
      <c r="J21" s="553"/>
      <c r="K21" s="150"/>
      <c r="L21" s="176" t="s">
        <v>2</v>
      </c>
      <c r="M21" s="373">
        <f>重み!M83</f>
        <v>0.5</v>
      </c>
      <c r="O21" s="324">
        <f t="shared" ref="O21:V21" si="1">C21</f>
        <v>0</v>
      </c>
      <c r="P21" s="324">
        <f t="shared" si="1"/>
        <v>0</v>
      </c>
      <c r="Q21" s="324">
        <f t="shared" si="1"/>
        <v>0</v>
      </c>
      <c r="R21" s="324">
        <f t="shared" si="1"/>
        <v>0</v>
      </c>
      <c r="S21" s="324">
        <f t="shared" si="1"/>
        <v>0</v>
      </c>
      <c r="T21" s="324">
        <f t="shared" si="1"/>
        <v>0</v>
      </c>
      <c r="U21" s="324">
        <f t="shared" si="1"/>
        <v>0</v>
      </c>
      <c r="V21" s="324">
        <f t="shared" si="1"/>
        <v>0</v>
      </c>
      <c r="W21" s="324" t="str">
        <f>L21</f>
        <v>重み係数＝</v>
      </c>
      <c r="X21" s="324">
        <f>M21</f>
        <v>0.5</v>
      </c>
    </row>
    <row r="22" spans="1:25" s="324" customFormat="1" ht="16.5" customHeight="1" thickBot="1">
      <c r="A22" s="3"/>
      <c r="B22" s="566"/>
      <c r="C22" s="164"/>
      <c r="D22" s="1050">
        <f>ROUND(IF(F36=0,2,IF(F36&lt;=1,3,IF(F36&gt;=4,5,4))),0)</f>
        <v>3</v>
      </c>
      <c r="E22" s="2391" t="s">
        <v>391</v>
      </c>
      <c r="F22" s="2392"/>
      <c r="G22" s="2392"/>
      <c r="H22" s="2392"/>
      <c r="I22" s="2392"/>
      <c r="J22" s="2392"/>
      <c r="K22" s="2392"/>
      <c r="L22" s="2392"/>
      <c r="M22" s="2393"/>
      <c r="Q22" s="4"/>
      <c r="R22" s="4"/>
      <c r="S22" s="4"/>
      <c r="T22" s="4"/>
      <c r="U22" s="4"/>
      <c r="V22" s="132"/>
      <c r="W22" s="132"/>
      <c r="X22" s="132"/>
    </row>
    <row r="23" spans="1:25" s="324" customFormat="1" ht="16.5" customHeight="1">
      <c r="A23" s="3"/>
      <c r="B23" s="564"/>
      <c r="C23" s="164"/>
      <c r="D23" s="35" t="str">
        <f>IF(D22=$Q$69,$R$64,IF(ROUNDDOWN(D22,0)=$Q$64,$S$64,$R$64))</f>
        <v>　レベル　1</v>
      </c>
      <c r="E23" s="522" t="s">
        <v>383</v>
      </c>
      <c r="F23" s="520"/>
      <c r="G23" s="520"/>
      <c r="H23" s="520"/>
      <c r="I23" s="520"/>
      <c r="J23" s="520"/>
      <c r="K23" s="520"/>
      <c r="L23" s="520"/>
      <c r="M23" s="521"/>
      <c r="P23" s="382" t="s">
        <v>48</v>
      </c>
      <c r="Q23" s="37"/>
      <c r="R23" s="37"/>
      <c r="S23" s="37"/>
      <c r="T23" s="37"/>
      <c r="U23" s="382">
        <f>$Q$64</f>
        <v>1</v>
      </c>
      <c r="V23" s="37"/>
      <c r="W23" s="37"/>
      <c r="X23" s="37"/>
    </row>
    <row r="24" spans="1:25" s="324" customFormat="1" ht="16.5" customHeight="1">
      <c r="A24" s="3"/>
      <c r="B24" s="564"/>
      <c r="C24" s="164"/>
      <c r="D24" s="35" t="str">
        <f>IF(D22=$Q$69,$R$65,IF(ROUNDDOWN(D22,0)=$Q$65,$S$65,$R$65))</f>
        <v>　レベル　2</v>
      </c>
      <c r="E24" s="523" t="s">
        <v>1206</v>
      </c>
      <c r="F24" s="513"/>
      <c r="G24" s="513"/>
      <c r="H24" s="513"/>
      <c r="I24" s="513"/>
      <c r="J24" s="513"/>
      <c r="K24" s="513"/>
      <c r="L24" s="513"/>
      <c r="M24" s="514"/>
      <c r="P24" s="382">
        <f>$Q$65</f>
        <v>2</v>
      </c>
      <c r="Q24" s="37"/>
      <c r="R24" s="37"/>
      <c r="S24" s="37"/>
      <c r="T24" s="37"/>
      <c r="U24" s="382">
        <f>$Q$65</f>
        <v>2</v>
      </c>
      <c r="V24" s="37"/>
      <c r="W24" s="37"/>
      <c r="X24" s="37"/>
    </row>
    <row r="25" spans="1:25" s="324" customFormat="1" ht="16.5" customHeight="1">
      <c r="A25" s="3"/>
      <c r="B25" s="564"/>
      <c r="C25" s="164"/>
      <c r="D25" s="35" t="str">
        <f>IF(D22=$Q$69,$R$66,IF(ROUNDDOWN(D22,0)=$Q$66,$S$66,$R$66))</f>
        <v>■レベル　3</v>
      </c>
      <c r="E25" s="523" t="s">
        <v>1207</v>
      </c>
      <c r="F25" s="513"/>
      <c r="G25" s="513"/>
      <c r="H25" s="513"/>
      <c r="I25" s="513"/>
      <c r="J25" s="513"/>
      <c r="K25" s="513"/>
      <c r="L25" s="513"/>
      <c r="M25" s="514"/>
      <c r="P25" s="382">
        <f>$Q$66</f>
        <v>3</v>
      </c>
      <c r="Q25" s="37"/>
      <c r="R25" s="37"/>
      <c r="S25" s="37"/>
      <c r="T25" s="37"/>
      <c r="U25" s="382">
        <f>$Q$66</f>
        <v>3</v>
      </c>
      <c r="V25" s="37"/>
      <c r="W25" s="37"/>
      <c r="X25" s="37"/>
    </row>
    <row r="26" spans="1:25" s="324" customFormat="1" ht="16.5" customHeight="1">
      <c r="A26" s="3"/>
      <c r="B26" s="564"/>
      <c r="C26" s="164"/>
      <c r="D26" s="35" t="str">
        <f>IF(D22=$Q$69,$R$67,IF(ROUNDDOWN(D22,0)=$Q$67,$S$67,$R$67))</f>
        <v>　レベル　4</v>
      </c>
      <c r="E26" s="535" t="s">
        <v>1208</v>
      </c>
      <c r="F26" s="790"/>
      <c r="G26" s="790"/>
      <c r="H26" s="790"/>
      <c r="I26" s="790"/>
      <c r="J26" s="790"/>
      <c r="K26" s="790"/>
      <c r="L26" s="790"/>
      <c r="M26" s="791"/>
      <c r="P26" s="382">
        <f>$Q$67</f>
        <v>4</v>
      </c>
      <c r="Q26" s="37"/>
      <c r="R26" s="37"/>
      <c r="S26" s="37"/>
      <c r="T26" s="37"/>
      <c r="U26" s="382">
        <f>$Q$67</f>
        <v>4</v>
      </c>
      <c r="V26" s="37"/>
      <c r="W26" s="37"/>
      <c r="X26" s="37"/>
    </row>
    <row r="27" spans="1:25" s="324" customFormat="1" ht="16.5" customHeight="1">
      <c r="A27" s="3"/>
      <c r="B27" s="564"/>
      <c r="C27" s="164"/>
      <c r="D27" s="33" t="str">
        <f>IF(D22=$Q$69,$R$68,IF(ROUNDDOWN(D22,0)=$Q$68,$S$68,$R$68))</f>
        <v>　レベル　5</v>
      </c>
      <c r="E27" s="561" t="s">
        <v>1209</v>
      </c>
      <c r="F27" s="792"/>
      <c r="G27" s="792"/>
      <c r="H27" s="792"/>
      <c r="I27" s="792"/>
      <c r="J27" s="792"/>
      <c r="K27" s="792"/>
      <c r="L27" s="792"/>
      <c r="M27" s="793"/>
      <c r="P27" s="382">
        <f>$Q$68</f>
        <v>5</v>
      </c>
      <c r="Q27" s="37"/>
      <c r="R27" s="37"/>
      <c r="S27" s="37"/>
      <c r="T27" s="37"/>
      <c r="U27" s="382">
        <f>$Q$68</f>
        <v>5</v>
      </c>
      <c r="V27" s="37"/>
      <c r="W27" s="37"/>
      <c r="X27" s="37"/>
    </row>
    <row r="28" spans="1:25" s="324" customFormat="1" ht="16.5" customHeight="1">
      <c r="A28" s="3"/>
      <c r="B28" s="562"/>
      <c r="C28" s="131"/>
      <c r="D28" s="131"/>
      <c r="E28" s="152" t="s">
        <v>32</v>
      </c>
      <c r="F28" s="51"/>
      <c r="G28" s="151"/>
      <c r="H28" s="40"/>
      <c r="I28" s="40"/>
      <c r="J28" s="51"/>
      <c r="K28" s="51"/>
      <c r="L28" s="51"/>
      <c r="M28" s="51"/>
      <c r="P28" s="382" t="s">
        <v>60</v>
      </c>
      <c r="Q28" s="37"/>
      <c r="R28" s="37"/>
      <c r="S28" s="37"/>
      <c r="T28" s="37"/>
      <c r="U28" s="382" t="str">
        <f>$Q$69</f>
        <v>対象外</v>
      </c>
      <c r="V28" s="37"/>
      <c r="W28" s="37"/>
      <c r="X28" s="37"/>
    </row>
    <row r="29" spans="1:25" s="324" customFormat="1" ht="16.5" customHeight="1" thickBot="1">
      <c r="A29" s="3"/>
      <c r="B29" s="562"/>
      <c r="C29" s="131"/>
      <c r="D29" s="131"/>
      <c r="E29" s="140" t="s">
        <v>331</v>
      </c>
      <c r="F29" s="546" t="s">
        <v>17</v>
      </c>
      <c r="G29" s="511" t="s">
        <v>70</v>
      </c>
      <c r="H29" s="545" t="s">
        <v>74</v>
      </c>
      <c r="I29" s="546"/>
      <c r="J29" s="546"/>
      <c r="K29" s="546"/>
      <c r="L29" s="546"/>
      <c r="M29" s="547"/>
      <c r="P29" s="572"/>
      <c r="Q29" s="37"/>
      <c r="R29" s="37"/>
      <c r="S29" s="37"/>
      <c r="T29" s="37"/>
      <c r="U29" s="572"/>
      <c r="V29" s="37"/>
      <c r="W29" s="37"/>
      <c r="X29" s="37"/>
    </row>
    <row r="30" spans="1:25" s="324" customFormat="1" ht="24" customHeight="1">
      <c r="A30" s="3"/>
      <c r="B30" s="562"/>
      <c r="C30" s="131"/>
      <c r="D30" s="131"/>
      <c r="E30" s="375" t="s">
        <v>668</v>
      </c>
      <c r="F30" s="2422" t="s">
        <v>671</v>
      </c>
      <c r="G30" s="822">
        <v>1</v>
      </c>
      <c r="H30" s="2400" t="s">
        <v>1210</v>
      </c>
      <c r="I30" s="2401"/>
      <c r="J30" s="2401"/>
      <c r="K30" s="2401"/>
      <c r="L30" s="2401"/>
      <c r="M30" s="2402"/>
      <c r="P30" s="572"/>
      <c r="Q30" s="37"/>
      <c r="R30" s="37"/>
      <c r="S30" s="37"/>
      <c r="T30" s="37"/>
      <c r="U30" s="572"/>
      <c r="V30" s="37"/>
      <c r="W30" s="37"/>
      <c r="X30" s="37"/>
    </row>
    <row r="31" spans="1:25" s="324" customFormat="1" ht="16.5" customHeight="1">
      <c r="A31" s="3"/>
      <c r="B31" s="562"/>
      <c r="C31" s="131"/>
      <c r="D31" s="131"/>
      <c r="E31" s="533"/>
      <c r="F31" s="2443"/>
      <c r="G31" s="575">
        <v>2</v>
      </c>
      <c r="H31" s="535" t="s">
        <v>1211</v>
      </c>
      <c r="I31" s="569"/>
      <c r="J31" s="569"/>
      <c r="K31" s="569"/>
      <c r="L31" s="569"/>
      <c r="M31" s="570"/>
      <c r="P31" s="572"/>
      <c r="Q31" s="37"/>
      <c r="R31" s="37"/>
      <c r="S31" s="37"/>
      <c r="T31" s="37"/>
      <c r="U31" s="572"/>
      <c r="V31" s="37"/>
      <c r="W31" s="37"/>
      <c r="X31" s="37"/>
    </row>
    <row r="32" spans="1:25" s="324" customFormat="1" ht="16.5" customHeight="1">
      <c r="A32" s="3"/>
      <c r="B32" s="562"/>
      <c r="C32" s="131"/>
      <c r="D32" s="131"/>
      <c r="E32" s="737"/>
      <c r="F32" s="2443"/>
      <c r="G32" s="576">
        <v>3</v>
      </c>
      <c r="H32" s="815" t="s">
        <v>673</v>
      </c>
      <c r="I32" s="816"/>
      <c r="J32" s="816"/>
      <c r="K32" s="816"/>
      <c r="L32" s="816"/>
      <c r="M32" s="817"/>
      <c r="P32" s="572"/>
      <c r="Q32" s="37"/>
      <c r="R32" s="37"/>
      <c r="S32" s="37"/>
      <c r="T32" s="37"/>
      <c r="U32" s="572"/>
      <c r="V32" s="37"/>
      <c r="W32" s="37"/>
      <c r="X32" s="37"/>
    </row>
    <row r="33" spans="1:25" s="324" customFormat="1" ht="16.5" customHeight="1">
      <c r="A33" s="3"/>
      <c r="B33" s="562"/>
      <c r="C33" s="131"/>
      <c r="D33" s="131"/>
      <c r="E33" s="808"/>
      <c r="F33" s="2422" t="s">
        <v>672</v>
      </c>
      <c r="G33" s="574">
        <v>4</v>
      </c>
      <c r="H33" s="541" t="s">
        <v>1212</v>
      </c>
      <c r="I33" s="785"/>
      <c r="J33" s="785"/>
      <c r="K33" s="785"/>
      <c r="L33" s="785"/>
      <c r="M33" s="786"/>
      <c r="P33" s="572"/>
      <c r="Q33" s="37"/>
      <c r="R33" s="37"/>
      <c r="S33" s="37"/>
      <c r="T33" s="37"/>
      <c r="U33" s="572"/>
      <c r="V33" s="37"/>
      <c r="W33" s="37"/>
      <c r="X33" s="37"/>
    </row>
    <row r="34" spans="1:25" s="324" customFormat="1" ht="16.5" customHeight="1">
      <c r="A34" s="3"/>
      <c r="B34" s="562"/>
      <c r="C34" s="131"/>
      <c r="D34" s="131"/>
      <c r="E34" s="737"/>
      <c r="F34" s="2443"/>
      <c r="G34" s="576">
        <v>5</v>
      </c>
      <c r="H34" s="815" t="s">
        <v>674</v>
      </c>
      <c r="I34" s="816"/>
      <c r="J34" s="816"/>
      <c r="K34" s="816"/>
      <c r="L34" s="816"/>
      <c r="M34" s="817"/>
      <c r="P34" s="572"/>
      <c r="Q34" s="37"/>
      <c r="R34" s="37"/>
      <c r="S34" s="37"/>
      <c r="T34" s="37"/>
      <c r="U34" s="572"/>
      <c r="V34" s="37"/>
      <c r="W34" s="37"/>
      <c r="X34" s="37"/>
    </row>
    <row r="35" spans="1:25" s="324" customFormat="1" ht="16.5" customHeight="1" thickBot="1">
      <c r="A35" s="3"/>
      <c r="B35" s="562"/>
      <c r="C35" s="131"/>
      <c r="D35" s="131"/>
      <c r="E35" s="818"/>
      <c r="F35" s="819" t="s">
        <v>829</v>
      </c>
      <c r="G35" s="370">
        <v>6</v>
      </c>
      <c r="H35" s="800" t="s">
        <v>132</v>
      </c>
      <c r="I35" s="820"/>
      <c r="J35" s="820"/>
      <c r="K35" s="820"/>
      <c r="L35" s="820"/>
      <c r="M35" s="821"/>
      <c r="P35" s="572"/>
      <c r="Q35" s="37"/>
      <c r="R35" s="37"/>
      <c r="S35" s="37"/>
      <c r="T35" s="37"/>
      <c r="U35" s="572"/>
      <c r="V35" s="37"/>
      <c r="W35" s="37"/>
      <c r="X35" s="37"/>
    </row>
    <row r="36" spans="1:25" ht="16.5" customHeight="1">
      <c r="A36" s="1"/>
      <c r="B36" s="1042"/>
      <c r="C36" s="1043"/>
      <c r="D36" s="1043"/>
      <c r="E36" s="596" t="s">
        <v>456</v>
      </c>
      <c r="F36" s="1020">
        <f>COUNTIF(E30:E35,"○")</f>
        <v>1</v>
      </c>
      <c r="G36" s="1028"/>
      <c r="H36" s="1028"/>
      <c r="I36" s="139"/>
      <c r="J36" s="139"/>
      <c r="K36" s="139"/>
      <c r="L36" s="477"/>
      <c r="M36" s="540"/>
      <c r="N36" s="4"/>
      <c r="O36" s="4"/>
      <c r="P36" s="1071"/>
      <c r="Q36" s="37"/>
      <c r="R36" s="37"/>
      <c r="S36" s="37"/>
      <c r="T36" s="37"/>
      <c r="U36" s="1071"/>
      <c r="V36" s="37"/>
      <c r="W36" s="37"/>
      <c r="X36" s="37"/>
    </row>
    <row r="37" spans="1:25" s="144" customFormat="1" ht="8.25" customHeight="1">
      <c r="A37" s="51"/>
      <c r="B37" s="164"/>
      <c r="C37" s="607"/>
      <c r="D37" s="309"/>
      <c r="E37" s="309"/>
      <c r="F37" s="1"/>
      <c r="G37" s="1"/>
      <c r="H37" s="1"/>
      <c r="I37" s="1"/>
      <c r="J37" s="1"/>
      <c r="K37" s="1"/>
      <c r="L37" s="1"/>
      <c r="M37" s="1"/>
      <c r="N37" s="150"/>
      <c r="P37" s="584" t="s">
        <v>60</v>
      </c>
      <c r="Q37" s="324" t="s">
        <v>82</v>
      </c>
      <c r="R37" s="4"/>
      <c r="S37" s="4"/>
      <c r="T37" s="132"/>
    </row>
    <row r="38" spans="1:25" s="144" customFormat="1" ht="21" customHeight="1">
      <c r="A38" s="51"/>
      <c r="B38" s="164"/>
      <c r="C38" s="607"/>
      <c r="E38" s="781" t="s">
        <v>3</v>
      </c>
      <c r="F38" s="782"/>
      <c r="G38" s="1201"/>
      <c r="H38" s="1201"/>
      <c r="I38" s="2388"/>
      <c r="J38" s="2389"/>
      <c r="K38" s="2389"/>
      <c r="L38" s="2389"/>
      <c r="M38" s="2390"/>
      <c r="N38" s="150"/>
      <c r="P38" s="615"/>
      <c r="Q38" s="324"/>
      <c r="R38" s="4"/>
      <c r="S38" s="4"/>
      <c r="T38" s="132"/>
      <c r="U38" s="615"/>
      <c r="V38" s="132"/>
      <c r="W38" s="132"/>
      <c r="X38" s="132"/>
      <c r="Y38" s="132"/>
    </row>
    <row r="39" spans="1:25" s="324" customFormat="1">
      <c r="A39" s="3"/>
      <c r="B39" s="562"/>
      <c r="C39" s="131"/>
      <c r="D39" s="131"/>
      <c r="E39" s="131"/>
      <c r="F39" s="131"/>
      <c r="G39" s="131"/>
      <c r="H39" s="131"/>
      <c r="I39" s="131"/>
      <c r="J39" s="131"/>
      <c r="K39" s="131"/>
      <c r="L39" s="131"/>
      <c r="M39" s="131"/>
      <c r="N39" s="131"/>
      <c r="O39" s="326"/>
      <c r="P39" s="326"/>
    </row>
    <row r="40" spans="1:25" s="324" customFormat="1">
      <c r="A40" s="3"/>
      <c r="B40" s="1061">
        <v>2.2000000000000002</v>
      </c>
      <c r="C40" s="36" t="s">
        <v>71</v>
      </c>
      <c r="D40" s="36"/>
      <c r="E40" s="131"/>
      <c r="F40" s="131"/>
      <c r="G40" s="131"/>
      <c r="H40" s="131"/>
      <c r="I40" s="131"/>
      <c r="J40" s="131"/>
      <c r="K40" s="131"/>
      <c r="L40" s="131"/>
      <c r="M40" s="131"/>
      <c r="N40" s="131"/>
      <c r="O40" s="326"/>
      <c r="P40" s="326"/>
    </row>
    <row r="41" spans="1:25" s="324" customFormat="1" ht="16.5" customHeight="1" thickBot="1">
      <c r="A41" s="22"/>
      <c r="E41" s="51"/>
      <c r="F41" s="150"/>
      <c r="G41" s="150"/>
      <c r="H41" s="150"/>
      <c r="I41" s="150"/>
      <c r="J41" s="150"/>
      <c r="K41" s="150"/>
      <c r="L41" s="176" t="s">
        <v>2</v>
      </c>
      <c r="M41" s="373">
        <f>重み!M84</f>
        <v>0.5</v>
      </c>
      <c r="N41" s="3"/>
      <c r="O41" s="324">
        <f t="shared" ref="O41:V41" si="2">C41</f>
        <v>0</v>
      </c>
      <c r="P41" s="324">
        <f t="shared" si="2"/>
        <v>0</v>
      </c>
      <c r="Q41" s="324">
        <f t="shared" si="2"/>
        <v>0</v>
      </c>
      <c r="R41" s="324">
        <f t="shared" si="2"/>
        <v>0</v>
      </c>
      <c r="S41" s="324">
        <f t="shared" si="2"/>
        <v>0</v>
      </c>
      <c r="T41" s="324">
        <f t="shared" si="2"/>
        <v>0</v>
      </c>
      <c r="U41" s="324">
        <f t="shared" si="2"/>
        <v>0</v>
      </c>
      <c r="V41" s="324">
        <f t="shared" si="2"/>
        <v>0</v>
      </c>
      <c r="W41" s="324" t="str">
        <f>L41</f>
        <v>重み係数＝</v>
      </c>
      <c r="X41" s="324">
        <f>M41</f>
        <v>0.5</v>
      </c>
    </row>
    <row r="42" spans="1:25" s="327" customFormat="1" ht="16.5" customHeight="1" thickBot="1">
      <c r="A42" s="1"/>
      <c r="B42" s="562"/>
      <c r="C42" s="131"/>
      <c r="D42" s="1050">
        <f>ROUND(IF(F56=0,1,IF(F56&lt;3,3,IF(F56&lt;=4,4,5))),0)</f>
        <v>3</v>
      </c>
      <c r="E42" s="2391" t="s">
        <v>391</v>
      </c>
      <c r="F42" s="2392"/>
      <c r="G42" s="2392"/>
      <c r="H42" s="2392"/>
      <c r="I42" s="2392"/>
      <c r="J42" s="2392"/>
      <c r="K42" s="2392"/>
      <c r="L42" s="2392"/>
      <c r="M42" s="2393"/>
      <c r="N42" s="3"/>
      <c r="O42" s="324"/>
      <c r="P42" s="324"/>
      <c r="Q42" s="4"/>
      <c r="R42" s="4"/>
      <c r="S42" s="4"/>
      <c r="T42" s="4"/>
      <c r="U42" s="4"/>
      <c r="V42" s="132"/>
      <c r="W42" s="132"/>
      <c r="X42" s="132"/>
    </row>
    <row r="43" spans="1:25" ht="16.5" customHeight="1">
      <c r="A43" s="1"/>
      <c r="B43" s="562"/>
      <c r="C43" s="131"/>
      <c r="D43" s="35" t="str">
        <f>IF(D42=$Q$69,$R$64,IF(ROUNDDOWN(D42,0)=$Q$64,$S$64,$R$64))</f>
        <v>　レベル　1</v>
      </c>
      <c r="E43" s="522" t="s">
        <v>670</v>
      </c>
      <c r="F43" s="520"/>
      <c r="G43" s="520"/>
      <c r="H43" s="520"/>
      <c r="I43" s="520"/>
      <c r="J43" s="520"/>
      <c r="K43" s="520"/>
      <c r="L43" s="520"/>
      <c r="M43" s="521"/>
      <c r="N43" s="3"/>
      <c r="O43" s="324"/>
      <c r="P43" s="382">
        <f>$Q$64</f>
        <v>1</v>
      </c>
      <c r="Q43" s="37"/>
      <c r="R43" s="37"/>
      <c r="S43" s="37"/>
      <c r="T43" s="37"/>
      <c r="U43" s="382">
        <f>$Q$64</f>
        <v>1</v>
      </c>
      <c r="V43" s="37"/>
      <c r="W43" s="37"/>
      <c r="X43" s="37"/>
    </row>
    <row r="44" spans="1:25" ht="16.5" customHeight="1">
      <c r="A44" s="1"/>
      <c r="B44" s="562"/>
      <c r="C44" s="131"/>
      <c r="D44" s="35" t="str">
        <f>IF(D42=$Q$69,$R$65,IF(ROUNDDOWN(D42,0)=$Q$65,$S$65,$R$65))</f>
        <v>　レベル　2</v>
      </c>
      <c r="E44" s="523" t="s">
        <v>383</v>
      </c>
      <c r="F44" s="513"/>
      <c r="G44" s="513"/>
      <c r="H44" s="513"/>
      <c r="I44" s="513"/>
      <c r="J44" s="513"/>
      <c r="K44" s="513"/>
      <c r="L44" s="513"/>
      <c r="M44" s="514"/>
      <c r="N44" s="3"/>
      <c r="O44" s="324"/>
      <c r="P44" s="382" t="s">
        <v>48</v>
      </c>
      <c r="Q44" s="37"/>
      <c r="R44" s="37"/>
      <c r="S44" s="37"/>
      <c r="T44" s="37"/>
      <c r="U44" s="382">
        <f>$Q$65</f>
        <v>2</v>
      </c>
      <c r="V44" s="37"/>
      <c r="W44" s="37"/>
      <c r="X44" s="37"/>
    </row>
    <row r="45" spans="1:25" ht="16.5" customHeight="1">
      <c r="A45" s="1"/>
      <c r="B45" s="562"/>
      <c r="C45" s="131"/>
      <c r="D45" s="35" t="str">
        <f>IF(D42=$Q$69,$R$66,IF(ROUNDDOWN(D42,0)=$Q$66,$S$66,$R$66))</f>
        <v>■レベル　3</v>
      </c>
      <c r="E45" s="523" t="s">
        <v>1213</v>
      </c>
      <c r="F45" s="513"/>
      <c r="G45" s="513"/>
      <c r="H45" s="513"/>
      <c r="I45" s="513"/>
      <c r="J45" s="513"/>
      <c r="K45" s="513"/>
      <c r="L45" s="513"/>
      <c r="M45" s="514"/>
      <c r="N45" s="3"/>
      <c r="O45" s="324"/>
      <c r="P45" s="382">
        <f>$Q$66</f>
        <v>3</v>
      </c>
      <c r="Q45" s="37"/>
      <c r="R45" s="37"/>
      <c r="S45" s="37"/>
      <c r="T45" s="37"/>
      <c r="U45" s="382">
        <f>$Q$66</f>
        <v>3</v>
      </c>
      <c r="V45" s="37"/>
      <c r="W45" s="37"/>
      <c r="X45" s="37"/>
    </row>
    <row r="46" spans="1:25" ht="16.5" customHeight="1">
      <c r="A46" s="1"/>
      <c r="B46" s="562"/>
      <c r="C46" s="131"/>
      <c r="D46" s="35" t="str">
        <f>IF(D42=$Q$69,$R$67,IF(ROUNDDOWN(D42,0)=$Q$67,$S$67,$R$67))</f>
        <v>　レベル　4</v>
      </c>
      <c r="E46" s="535" t="s">
        <v>1214</v>
      </c>
      <c r="F46" s="513"/>
      <c r="G46" s="513"/>
      <c r="H46" s="513"/>
      <c r="I46" s="513"/>
      <c r="J46" s="513"/>
      <c r="K46" s="513"/>
      <c r="L46" s="513"/>
      <c r="M46" s="514"/>
      <c r="N46" s="3"/>
      <c r="O46" s="324"/>
      <c r="P46" s="382">
        <f>$Q$67</f>
        <v>4</v>
      </c>
      <c r="Q46" s="37"/>
      <c r="R46" s="37"/>
      <c r="S46" s="37"/>
      <c r="T46" s="37"/>
      <c r="U46" s="382">
        <f>$Q$67</f>
        <v>4</v>
      </c>
      <c r="V46" s="37"/>
      <c r="W46" s="37"/>
      <c r="X46" s="37"/>
    </row>
    <row r="47" spans="1:25" ht="16.5" customHeight="1">
      <c r="A47" s="1"/>
      <c r="B47" s="562"/>
      <c r="C47" s="131"/>
      <c r="D47" s="33" t="str">
        <f>IF(D42=$Q$69,$R$68,IF(ROUNDDOWN(D42,0)=$Q$68,$S$68,$R$68))</f>
        <v>　レベル　5</v>
      </c>
      <c r="E47" s="2414" t="s">
        <v>1215</v>
      </c>
      <c r="F47" s="2526"/>
      <c r="G47" s="2526"/>
      <c r="H47" s="2526"/>
      <c r="I47" s="2526"/>
      <c r="J47" s="2526"/>
      <c r="K47" s="2526"/>
      <c r="L47" s="2526"/>
      <c r="M47" s="2527"/>
      <c r="N47" s="3"/>
      <c r="O47" s="324"/>
      <c r="P47" s="382">
        <f>$Q$68</f>
        <v>5</v>
      </c>
      <c r="Q47" s="37"/>
      <c r="R47" s="37"/>
      <c r="S47" s="37"/>
      <c r="T47" s="37"/>
      <c r="U47" s="382">
        <f>$Q$68</f>
        <v>5</v>
      </c>
      <c r="V47" s="37"/>
      <c r="W47" s="37"/>
      <c r="X47" s="37"/>
    </row>
    <row r="48" spans="1:25" ht="16.5" customHeight="1">
      <c r="A48" s="1"/>
      <c r="B48" s="562"/>
      <c r="C48" s="131"/>
      <c r="D48" s="131"/>
      <c r="E48" s="152" t="s">
        <v>32</v>
      </c>
      <c r="F48" s="51"/>
      <c r="G48" s="151"/>
      <c r="H48" s="40"/>
      <c r="I48" s="40"/>
      <c r="J48" s="40"/>
      <c r="K48" s="40"/>
      <c r="L48" s="40"/>
      <c r="M48" s="40"/>
      <c r="N48" s="3"/>
      <c r="O48" s="324"/>
      <c r="P48" s="382" t="s">
        <v>60</v>
      </c>
      <c r="Q48" s="37"/>
      <c r="R48" s="37"/>
      <c r="S48" s="37"/>
      <c r="T48" s="37"/>
      <c r="U48" s="382" t="str">
        <f>$Q$69</f>
        <v>対象外</v>
      </c>
      <c r="V48" s="37"/>
      <c r="W48" s="37"/>
      <c r="X48" s="37"/>
    </row>
    <row r="49" spans="1:25" ht="16.5" customHeight="1" thickBot="1">
      <c r="A49" s="1"/>
      <c r="B49" s="562"/>
      <c r="C49" s="134"/>
      <c r="D49" s="131"/>
      <c r="E49" s="140" t="s">
        <v>331</v>
      </c>
      <c r="F49" s="574" t="s">
        <v>70</v>
      </c>
      <c r="G49" s="546" t="s">
        <v>74</v>
      </c>
      <c r="H49" s="546"/>
      <c r="I49" s="546"/>
      <c r="J49" s="546"/>
      <c r="K49" s="546"/>
      <c r="L49" s="547"/>
      <c r="M49" s="577" t="s">
        <v>72</v>
      </c>
      <c r="N49" s="3"/>
      <c r="O49" s="324"/>
      <c r="P49" s="4"/>
    </row>
    <row r="50" spans="1:25" ht="24" customHeight="1">
      <c r="A50" s="1"/>
      <c r="B50" s="562"/>
      <c r="C50" s="131"/>
      <c r="D50" s="131"/>
      <c r="E50" s="1320" t="s">
        <v>668</v>
      </c>
      <c r="F50" s="574">
        <v>1</v>
      </c>
      <c r="G50" s="2546" t="s">
        <v>1216</v>
      </c>
      <c r="H50" s="2547"/>
      <c r="I50" s="2547"/>
      <c r="J50" s="2547"/>
      <c r="K50" s="2547"/>
      <c r="L50" s="2548"/>
      <c r="M50" s="1325">
        <v>2</v>
      </c>
      <c r="N50" s="3"/>
      <c r="O50" s="324"/>
      <c r="P50" s="578"/>
      <c r="Q50" s="1324">
        <f t="shared" ref="Q50:Q55" si="3">IF(E50="○",M50,0)</f>
        <v>2</v>
      </c>
    </row>
    <row r="51" spans="1:25" ht="24" customHeight="1">
      <c r="A51" s="1"/>
      <c r="B51" s="562"/>
      <c r="C51" s="131"/>
      <c r="D51" s="131"/>
      <c r="E51" s="1321"/>
      <c r="F51" s="575">
        <v>2</v>
      </c>
      <c r="G51" s="2582" t="s">
        <v>1217</v>
      </c>
      <c r="H51" s="2583"/>
      <c r="I51" s="2583"/>
      <c r="J51" s="2583"/>
      <c r="K51" s="2583"/>
      <c r="L51" s="2584"/>
      <c r="M51" s="1326">
        <v>1</v>
      </c>
      <c r="N51" s="3"/>
      <c r="O51" s="324"/>
      <c r="P51" s="578"/>
      <c r="Q51" s="1324">
        <f t="shared" si="3"/>
        <v>0</v>
      </c>
    </row>
    <row r="52" spans="1:25" ht="24" customHeight="1">
      <c r="A52" s="1"/>
      <c r="B52" s="562"/>
      <c r="C52" s="131"/>
      <c r="D52" s="131"/>
      <c r="E52" s="1321"/>
      <c r="F52" s="2495">
        <v>3</v>
      </c>
      <c r="G52" s="2549" t="s">
        <v>148</v>
      </c>
      <c r="H52" s="2550"/>
      <c r="I52" s="2550"/>
      <c r="J52" s="2550"/>
      <c r="K52" s="2550"/>
      <c r="L52" s="2551"/>
      <c r="M52" s="1327">
        <v>2</v>
      </c>
      <c r="N52" s="3"/>
      <c r="O52" s="324"/>
      <c r="P52" s="578"/>
      <c r="Q52" s="1324">
        <f t="shared" si="3"/>
        <v>0</v>
      </c>
    </row>
    <row r="53" spans="1:25" ht="24" customHeight="1">
      <c r="A53" s="1"/>
      <c r="B53" s="562"/>
      <c r="C53" s="131"/>
      <c r="D53" s="131"/>
      <c r="E53" s="1321"/>
      <c r="F53" s="2497"/>
      <c r="G53" s="2549" t="s">
        <v>149</v>
      </c>
      <c r="H53" s="2550"/>
      <c r="I53" s="2550"/>
      <c r="J53" s="2550"/>
      <c r="K53" s="2550"/>
      <c r="L53" s="2551"/>
      <c r="M53" s="1328">
        <v>1</v>
      </c>
      <c r="N53" s="3"/>
      <c r="O53" s="324"/>
      <c r="P53" s="578"/>
      <c r="Q53" s="1324">
        <f t="shared" si="3"/>
        <v>0</v>
      </c>
    </row>
    <row r="54" spans="1:25" ht="24" customHeight="1">
      <c r="A54" s="1"/>
      <c r="B54" s="562"/>
      <c r="C54" s="131"/>
      <c r="D54" s="131"/>
      <c r="E54" s="1321"/>
      <c r="F54" s="2495">
        <v>4</v>
      </c>
      <c r="G54" s="2552" t="s">
        <v>150</v>
      </c>
      <c r="H54" s="2553"/>
      <c r="I54" s="2553"/>
      <c r="J54" s="2553"/>
      <c r="K54" s="2553"/>
      <c r="L54" s="2554"/>
      <c r="M54" s="1329">
        <v>2</v>
      </c>
      <c r="N54" s="3"/>
      <c r="O54" s="324"/>
      <c r="P54" s="578"/>
      <c r="Q54" s="1324">
        <f t="shared" si="3"/>
        <v>0</v>
      </c>
    </row>
    <row r="55" spans="1:25" ht="24" customHeight="1" thickBot="1">
      <c r="A55" s="1"/>
      <c r="B55" s="562"/>
      <c r="C55" s="131"/>
      <c r="D55" s="131"/>
      <c r="E55" s="1322"/>
      <c r="F55" s="2581"/>
      <c r="G55" s="2543" t="s">
        <v>151</v>
      </c>
      <c r="H55" s="2544"/>
      <c r="I55" s="2544"/>
      <c r="J55" s="2544"/>
      <c r="K55" s="2544"/>
      <c r="L55" s="2545"/>
      <c r="M55" s="1330">
        <v>1</v>
      </c>
      <c r="N55" s="3"/>
      <c r="O55" s="324"/>
      <c r="P55" s="578"/>
      <c r="Q55" s="1324">
        <f t="shared" si="3"/>
        <v>0</v>
      </c>
    </row>
    <row r="56" spans="1:25" ht="16.5" customHeight="1">
      <c r="A56" s="1"/>
      <c r="B56" s="562"/>
      <c r="C56" s="131"/>
      <c r="D56" s="131"/>
      <c r="E56" s="374" t="s">
        <v>456</v>
      </c>
      <c r="F56" s="1323">
        <f>SUM(Q50:Q55)</f>
        <v>2</v>
      </c>
      <c r="G56" s="555"/>
      <c r="H56" s="555"/>
      <c r="I56" s="370"/>
      <c r="J56" s="556"/>
      <c r="K56" s="557"/>
      <c r="L56" s="557"/>
      <c r="M56" s="558"/>
      <c r="N56" s="3"/>
      <c r="O56" s="324"/>
      <c r="P56" s="4"/>
    </row>
    <row r="57" spans="1:25" s="144" customFormat="1" ht="8.25" customHeight="1">
      <c r="A57" s="51"/>
      <c r="B57" s="164"/>
      <c r="C57" s="607"/>
      <c r="D57" s="309"/>
      <c r="E57" s="309"/>
      <c r="F57" s="1"/>
      <c r="G57" s="1"/>
      <c r="H57" s="1"/>
      <c r="I57" s="1"/>
      <c r="J57" s="1"/>
      <c r="K57" s="1"/>
      <c r="L57" s="1"/>
      <c r="M57" s="1"/>
      <c r="N57" s="150"/>
      <c r="P57" s="584" t="s">
        <v>60</v>
      </c>
      <c r="Q57" s="324" t="s">
        <v>82</v>
      </c>
      <c r="R57" s="4"/>
      <c r="S57" s="4"/>
      <c r="T57" s="132"/>
    </row>
    <row r="58" spans="1:25" s="144" customFormat="1" ht="21" customHeight="1">
      <c r="A58" s="51"/>
      <c r="B58" s="164"/>
      <c r="C58" s="607"/>
      <c r="E58" s="781" t="s">
        <v>3</v>
      </c>
      <c r="F58" s="782"/>
      <c r="G58" s="1201"/>
      <c r="H58" s="1201"/>
      <c r="I58" s="2388"/>
      <c r="J58" s="2389"/>
      <c r="K58" s="2389"/>
      <c r="L58" s="2389"/>
      <c r="M58" s="2390"/>
      <c r="N58" s="150"/>
      <c r="P58" s="615"/>
      <c r="Q58" s="324"/>
      <c r="R58" s="4"/>
      <c r="S58" s="4"/>
      <c r="T58" s="132"/>
      <c r="U58" s="615"/>
      <c r="V58" s="132"/>
      <c r="W58" s="132"/>
      <c r="X58" s="132"/>
      <c r="Y58" s="132"/>
    </row>
    <row r="59" spans="1:25">
      <c r="O59" s="324"/>
      <c r="P59" s="4"/>
    </row>
    <row r="60" spans="1:25" s="325" customFormat="1">
      <c r="A60" s="23"/>
      <c r="B60" s="618">
        <v>3</v>
      </c>
      <c r="C60" s="325" t="s">
        <v>680</v>
      </c>
      <c r="N60" s="324"/>
      <c r="O60" s="324"/>
      <c r="P60" s="324"/>
      <c r="Q60" s="37"/>
      <c r="R60" s="812"/>
      <c r="S60" s="301"/>
      <c r="T60" s="301"/>
      <c r="U60" s="301"/>
      <c r="V60" s="476"/>
      <c r="W60" s="301"/>
      <c r="X60" s="301"/>
    </row>
    <row r="61" spans="1:25">
      <c r="A61" s="1"/>
      <c r="B61" s="1061">
        <v>3.1</v>
      </c>
      <c r="C61" s="147" t="s">
        <v>771</v>
      </c>
      <c r="D61" s="153"/>
      <c r="E61" s="4"/>
      <c r="F61" s="4"/>
      <c r="G61" s="4"/>
      <c r="H61" s="4"/>
      <c r="I61" s="4"/>
      <c r="J61" s="4"/>
      <c r="K61" s="4"/>
      <c r="L61" s="4"/>
      <c r="M61" s="4"/>
      <c r="N61" s="324"/>
      <c r="O61" s="324"/>
      <c r="P61" s="324"/>
      <c r="Q61" s="37"/>
      <c r="S61" s="301"/>
      <c r="T61" s="132"/>
      <c r="U61" s="132"/>
      <c r="V61" s="132"/>
      <c r="W61" s="132"/>
      <c r="X61" s="132"/>
      <c r="Y61" s="132"/>
    </row>
    <row r="62" spans="1:25" ht="16.5" customHeight="1" thickBot="1">
      <c r="A62" s="1"/>
      <c r="B62" s="565"/>
      <c r="C62" s="4"/>
      <c r="D62" s="155"/>
      <c r="E62" s="155"/>
      <c r="F62" s="51"/>
      <c r="G62" s="525"/>
      <c r="H62" s="51"/>
      <c r="I62" s="51"/>
      <c r="J62" s="51"/>
      <c r="K62" s="150"/>
      <c r="L62" s="176" t="s">
        <v>2</v>
      </c>
      <c r="M62" s="373">
        <f>重み!M86</f>
        <v>0.5</v>
      </c>
      <c r="N62" s="324"/>
      <c r="O62" s="324">
        <f t="shared" ref="O62:V62" si="4">C62</f>
        <v>0</v>
      </c>
      <c r="P62" s="324">
        <f t="shared" si="4"/>
        <v>0</v>
      </c>
      <c r="Q62" s="324">
        <f t="shared" si="4"/>
        <v>0</v>
      </c>
      <c r="R62" s="324">
        <f t="shared" si="4"/>
        <v>0</v>
      </c>
      <c r="S62" s="324">
        <f t="shared" si="4"/>
        <v>0</v>
      </c>
      <c r="T62" s="324">
        <f t="shared" si="4"/>
        <v>0</v>
      </c>
      <c r="U62" s="324">
        <f t="shared" si="4"/>
        <v>0</v>
      </c>
      <c r="V62" s="324">
        <f t="shared" si="4"/>
        <v>0</v>
      </c>
      <c r="W62" s="324" t="str">
        <f>L62</f>
        <v>重み係数＝</v>
      </c>
      <c r="X62" s="324">
        <f>M62</f>
        <v>0.5</v>
      </c>
      <c r="Y62" s="132"/>
    </row>
    <row r="63" spans="1:25" ht="16.5" customHeight="1" thickBot="1">
      <c r="A63" s="1"/>
      <c r="B63" s="562"/>
      <c r="C63" s="131"/>
      <c r="D63" s="1050">
        <f>IF(E71="",1,IF(COUNTIF(E72:E73,U4)&gt;1,5,IF(COUNTIF(E72:E73,U4)&gt;0,4,3)))</f>
        <v>3</v>
      </c>
      <c r="E63" s="2391" t="s">
        <v>391</v>
      </c>
      <c r="F63" s="2392"/>
      <c r="G63" s="2392"/>
      <c r="H63" s="2392"/>
      <c r="I63" s="2392"/>
      <c r="J63" s="2392"/>
      <c r="K63" s="2392"/>
      <c r="L63" s="2392"/>
      <c r="M63" s="2393"/>
      <c r="N63" s="324"/>
      <c r="O63" s="324"/>
      <c r="P63" s="324"/>
      <c r="Q63" s="324"/>
      <c r="R63" s="324"/>
      <c r="S63" s="324"/>
      <c r="T63" s="132"/>
      <c r="U63" s="132"/>
      <c r="V63" s="132"/>
      <c r="W63" s="132"/>
      <c r="X63" s="132"/>
      <c r="Y63" s="132"/>
    </row>
    <row r="64" spans="1:25" ht="16.5" customHeight="1">
      <c r="A64" s="1"/>
      <c r="B64" s="562"/>
      <c r="C64" s="164"/>
      <c r="D64" s="32" t="str">
        <f>IF(D63=$Q$69,$R$64,IF(ROUNDDOWN(D63,0)=$Q$64,$S$64,$R$64))</f>
        <v>　レベル　1</v>
      </c>
      <c r="E64" s="522" t="s">
        <v>308</v>
      </c>
      <c r="F64" s="520"/>
      <c r="G64" s="520"/>
      <c r="H64" s="520"/>
      <c r="I64" s="520"/>
      <c r="J64" s="520"/>
      <c r="K64" s="520"/>
      <c r="L64" s="520"/>
      <c r="M64" s="521"/>
      <c r="N64" s="324"/>
      <c r="O64" s="324"/>
      <c r="P64" s="382">
        <f>$Q$64</f>
        <v>1</v>
      </c>
      <c r="Q64" s="316">
        <v>1</v>
      </c>
      <c r="R64" s="319" t="s">
        <v>459</v>
      </c>
      <c r="S64" s="317" t="s">
        <v>77</v>
      </c>
      <c r="T64" s="132"/>
      <c r="U64" s="382">
        <f>$Q$64</f>
        <v>1</v>
      </c>
      <c r="V64" s="132"/>
      <c r="W64" s="132"/>
      <c r="X64" s="132"/>
      <c r="Y64" s="132"/>
    </row>
    <row r="65" spans="1:251" ht="16.5" customHeight="1">
      <c r="A65" s="1"/>
      <c r="B65" s="562"/>
      <c r="C65" s="164"/>
      <c r="D65" s="35" t="str">
        <f>IF(D63=$Q$69,$R$65,IF(ROUNDDOWN(D63,0)=$Q$65,$S$65,$R$65))</f>
        <v>　レベル　2</v>
      </c>
      <c r="E65" s="523" t="s">
        <v>383</v>
      </c>
      <c r="F65" s="513"/>
      <c r="G65" s="513"/>
      <c r="H65" s="513"/>
      <c r="I65" s="513"/>
      <c r="J65" s="513"/>
      <c r="K65" s="513"/>
      <c r="L65" s="513"/>
      <c r="M65" s="514"/>
      <c r="N65" s="324"/>
      <c r="O65" s="324"/>
      <c r="P65" s="382" t="s">
        <v>48</v>
      </c>
      <c r="Q65" s="316">
        <v>2</v>
      </c>
      <c r="R65" s="319" t="s">
        <v>460</v>
      </c>
      <c r="S65" s="317" t="s">
        <v>78</v>
      </c>
      <c r="T65" s="132"/>
      <c r="U65" s="382">
        <f>$Q$65</f>
        <v>2</v>
      </c>
      <c r="V65" s="132"/>
      <c r="W65" s="132"/>
      <c r="X65" s="132"/>
      <c r="Y65" s="132"/>
    </row>
    <row r="66" spans="1:251" ht="16.5" customHeight="1">
      <c r="A66" s="1"/>
      <c r="B66" s="562"/>
      <c r="C66" s="164"/>
      <c r="D66" s="35" t="str">
        <f>IF(D63=$Q$69,$R$66,IF(ROUNDDOWN(D63,0)=$Q$66,$S$66,$R$66))</f>
        <v>■レベル　3</v>
      </c>
      <c r="E66" s="523" t="s">
        <v>1218</v>
      </c>
      <c r="F66" s="513"/>
      <c r="G66" s="513"/>
      <c r="H66" s="513"/>
      <c r="I66" s="513"/>
      <c r="J66" s="513"/>
      <c r="K66" s="513"/>
      <c r="L66" s="513"/>
      <c r="M66" s="514"/>
      <c r="N66" s="324"/>
      <c r="O66" s="324"/>
      <c r="P66" s="382">
        <f>$Q$66</f>
        <v>3</v>
      </c>
      <c r="Q66" s="316">
        <v>3</v>
      </c>
      <c r="R66" s="319" t="s">
        <v>461</v>
      </c>
      <c r="S66" s="317" t="s">
        <v>79</v>
      </c>
      <c r="T66" s="132"/>
      <c r="U66" s="382">
        <f>$Q$66</f>
        <v>3</v>
      </c>
      <c r="V66" s="132"/>
      <c r="W66" s="132"/>
      <c r="X66" s="132"/>
      <c r="Y66" s="132"/>
    </row>
    <row r="67" spans="1:251" ht="16.5" customHeight="1">
      <c r="A67" s="1"/>
      <c r="B67" s="562"/>
      <c r="C67" s="164"/>
      <c r="D67" s="35" t="str">
        <f>IF(D63=$Q$69,$R$67,IF(ROUNDDOWN(D63,0)=$Q$67,$S$67,$R$67))</f>
        <v>　レベル　4</v>
      </c>
      <c r="E67" s="535" t="s">
        <v>1219</v>
      </c>
      <c r="F67" s="534"/>
      <c r="G67" s="534"/>
      <c r="H67" s="534"/>
      <c r="I67" s="534"/>
      <c r="J67" s="534"/>
      <c r="K67" s="534"/>
      <c r="L67" s="534"/>
      <c r="M67" s="538"/>
      <c r="N67" s="324"/>
      <c r="O67" s="324"/>
      <c r="P67" s="382">
        <f>$Q$67</f>
        <v>4</v>
      </c>
      <c r="Q67" s="316">
        <v>4</v>
      </c>
      <c r="R67" s="319" t="s">
        <v>462</v>
      </c>
      <c r="S67" s="317" t="s">
        <v>80</v>
      </c>
      <c r="T67" s="132"/>
      <c r="U67" s="382">
        <f>$Q$67</f>
        <v>4</v>
      </c>
      <c r="V67" s="132"/>
      <c r="W67" s="132"/>
      <c r="X67" s="132"/>
      <c r="Y67" s="132"/>
    </row>
    <row r="68" spans="1:251" ht="16.5" customHeight="1">
      <c r="A68" s="1"/>
      <c r="B68" s="562"/>
      <c r="C68" s="164"/>
      <c r="D68" s="33" t="str">
        <f>IF(D63=$Q$69,$R$68,IF(ROUNDDOWN(D63,0)=$Q$68,$S$68,$R$68))</f>
        <v>　レベル　5</v>
      </c>
      <c r="E68" s="561" t="s">
        <v>1220</v>
      </c>
      <c r="F68" s="543"/>
      <c r="G68" s="543"/>
      <c r="H68" s="543"/>
      <c r="I68" s="543"/>
      <c r="J68" s="543"/>
      <c r="K68" s="543"/>
      <c r="L68" s="543"/>
      <c r="M68" s="789"/>
      <c r="N68" s="324"/>
      <c r="O68" s="324"/>
      <c r="P68" s="382">
        <f>$Q$68</f>
        <v>5</v>
      </c>
      <c r="Q68" s="316">
        <v>5</v>
      </c>
      <c r="R68" s="319" t="s">
        <v>463</v>
      </c>
      <c r="S68" s="317" t="s">
        <v>81</v>
      </c>
      <c r="T68" s="132"/>
      <c r="U68" s="382">
        <f>$Q$68</f>
        <v>5</v>
      </c>
      <c r="V68" s="132"/>
      <c r="W68" s="132"/>
      <c r="X68" s="132"/>
      <c r="Y68" s="132"/>
    </row>
    <row r="69" spans="1:251" ht="16.5" customHeight="1">
      <c r="A69" s="1"/>
      <c r="B69" s="562"/>
      <c r="C69" s="131"/>
      <c r="D69" s="45"/>
      <c r="E69" s="152" t="s">
        <v>32</v>
      </c>
      <c r="F69" s="51"/>
      <c r="G69" s="151"/>
      <c r="H69" s="40"/>
      <c r="I69" s="40"/>
      <c r="J69" s="51"/>
      <c r="K69" s="51"/>
      <c r="L69" s="51"/>
      <c r="M69" s="51"/>
      <c r="N69" s="324"/>
      <c r="O69" s="324"/>
      <c r="P69" s="382" t="s">
        <v>60</v>
      </c>
      <c r="Q69" s="324" t="s">
        <v>82</v>
      </c>
      <c r="T69" s="132"/>
      <c r="U69" s="382" t="str">
        <f>$Q$69</f>
        <v>対象外</v>
      </c>
      <c r="V69" s="132"/>
      <c r="W69" s="132"/>
      <c r="X69" s="132"/>
      <c r="Y69" s="132"/>
    </row>
    <row r="70" spans="1:251" ht="16.5" customHeight="1" thickBot="1">
      <c r="A70" s="1"/>
      <c r="B70" s="562"/>
      <c r="C70" s="131"/>
      <c r="D70" s="4"/>
      <c r="E70" s="545" t="s">
        <v>331</v>
      </c>
      <c r="F70" s="511" t="s">
        <v>70</v>
      </c>
      <c r="G70" s="2426" t="s">
        <v>667</v>
      </c>
      <c r="H70" s="2427"/>
      <c r="I70" s="2427"/>
      <c r="J70" s="2427"/>
      <c r="K70" s="2427"/>
      <c r="L70" s="2427"/>
      <c r="M70" s="2428"/>
      <c r="N70" s="324"/>
      <c r="O70" s="324"/>
      <c r="P70" s="324"/>
      <c r="R70" s="324"/>
      <c r="S70" s="324"/>
      <c r="T70" s="324"/>
      <c r="U70" s="324"/>
      <c r="V70" s="324"/>
      <c r="W70" s="132"/>
      <c r="X70" s="132"/>
      <c r="Y70" s="132"/>
    </row>
    <row r="71" spans="1:251" ht="16.5" customHeight="1">
      <c r="A71" s="1"/>
      <c r="B71" s="562"/>
      <c r="C71" s="131"/>
      <c r="D71" s="4"/>
      <c r="E71" s="823" t="s">
        <v>668</v>
      </c>
      <c r="F71" s="511" t="s">
        <v>202</v>
      </c>
      <c r="G71" s="523" t="s">
        <v>1221</v>
      </c>
      <c r="H71" s="546"/>
      <c r="I71" s="546"/>
      <c r="J71" s="546"/>
      <c r="K71" s="546"/>
      <c r="L71" s="546"/>
      <c r="M71" s="547"/>
      <c r="N71" s="324"/>
      <c r="O71" s="324"/>
      <c r="P71" s="324"/>
      <c r="R71" s="324"/>
      <c r="S71" s="324"/>
      <c r="T71" s="324"/>
      <c r="U71" s="324"/>
      <c r="V71" s="324"/>
      <c r="W71" s="132"/>
      <c r="X71" s="132"/>
      <c r="Y71" s="132"/>
    </row>
    <row r="72" spans="1:251" ht="63" customHeight="1">
      <c r="A72" s="1"/>
      <c r="B72" s="562"/>
      <c r="C72" s="164"/>
      <c r="D72" s="4"/>
      <c r="E72" s="769"/>
      <c r="F72" s="511">
        <v>1</v>
      </c>
      <c r="G72" s="2400" t="s">
        <v>25</v>
      </c>
      <c r="H72" s="2402"/>
      <c r="I72" s="2400" t="s">
        <v>1222</v>
      </c>
      <c r="J72" s="2401"/>
      <c r="K72" s="2401"/>
      <c r="L72" s="2401"/>
      <c r="M72" s="2402"/>
      <c r="N72" s="324"/>
      <c r="O72" s="324"/>
      <c r="P72" s="324"/>
      <c r="R72" s="324"/>
      <c r="S72" s="324"/>
      <c r="T72" s="324"/>
      <c r="U72" s="324"/>
      <c r="V72" s="324"/>
      <c r="W72" s="132"/>
      <c r="X72" s="132"/>
      <c r="Y72" s="132"/>
    </row>
    <row r="73" spans="1:251" ht="63" customHeight="1" thickBot="1">
      <c r="A73" s="1"/>
      <c r="B73" s="562"/>
      <c r="C73" s="164"/>
      <c r="D73" s="4"/>
      <c r="E73" s="376"/>
      <c r="F73" s="560">
        <v>2</v>
      </c>
      <c r="G73" s="2403" t="s">
        <v>26</v>
      </c>
      <c r="H73" s="2405"/>
      <c r="I73" s="2403" t="s">
        <v>1223</v>
      </c>
      <c r="J73" s="2404"/>
      <c r="K73" s="2404"/>
      <c r="L73" s="2404"/>
      <c r="M73" s="2405"/>
      <c r="N73" s="324"/>
      <c r="O73" s="324"/>
      <c r="P73" s="324"/>
      <c r="Q73" s="324"/>
      <c r="R73" s="324"/>
      <c r="S73" s="324"/>
      <c r="T73" s="324"/>
      <c r="U73" s="324"/>
      <c r="V73" s="324"/>
      <c r="W73" s="132"/>
      <c r="X73" s="132"/>
      <c r="Y73" s="132"/>
    </row>
    <row r="74" spans="1:251" s="144" customFormat="1" ht="8.25" customHeight="1">
      <c r="A74" s="51"/>
      <c r="B74" s="164"/>
      <c r="C74" s="607"/>
      <c r="D74" s="309"/>
      <c r="E74" s="309"/>
      <c r="F74" s="1"/>
      <c r="G74" s="1"/>
      <c r="H74" s="1"/>
      <c r="I74" s="1"/>
      <c r="J74" s="1"/>
      <c r="K74" s="1"/>
      <c r="L74" s="1"/>
      <c r="M74" s="1"/>
      <c r="N74" s="150"/>
      <c r="P74" s="584" t="s">
        <v>60</v>
      </c>
      <c r="Q74" s="324" t="s">
        <v>82</v>
      </c>
      <c r="R74" s="4"/>
      <c r="S74" s="4"/>
      <c r="T74" s="132"/>
    </row>
    <row r="75" spans="1:251" s="144" customFormat="1" ht="21" customHeight="1">
      <c r="A75" s="51"/>
      <c r="B75" s="164"/>
      <c r="C75" s="607"/>
      <c r="E75" s="781" t="s">
        <v>3</v>
      </c>
      <c r="F75" s="782"/>
      <c r="G75" s="1201"/>
      <c r="H75" s="1201"/>
      <c r="I75" s="2388"/>
      <c r="J75" s="2389"/>
      <c r="K75" s="2389"/>
      <c r="L75" s="2389"/>
      <c r="M75" s="2390"/>
      <c r="N75" s="150"/>
      <c r="P75" s="615"/>
      <c r="Q75" s="324"/>
      <c r="R75" s="4"/>
      <c r="S75" s="4"/>
      <c r="T75" s="132"/>
      <c r="U75" s="615"/>
      <c r="V75" s="132"/>
      <c r="W75" s="132"/>
      <c r="X75" s="132"/>
      <c r="Y75" s="132"/>
    </row>
    <row r="76" spans="1:251">
      <c r="A76" s="1"/>
      <c r="B76" s="562"/>
      <c r="C76" s="131"/>
      <c r="D76" s="131"/>
      <c r="E76" s="131"/>
      <c r="F76" s="131"/>
      <c r="G76" s="131"/>
      <c r="H76" s="131"/>
      <c r="I76" s="495"/>
      <c r="J76" s="131"/>
      <c r="K76" s="131"/>
      <c r="L76" s="131"/>
      <c r="M76" s="131"/>
      <c r="N76" s="324"/>
      <c r="O76" s="324"/>
      <c r="P76" s="324"/>
      <c r="Q76" s="488"/>
      <c r="R76" s="489"/>
      <c r="S76" s="474"/>
      <c r="T76" s="132"/>
      <c r="U76" s="490"/>
      <c r="V76" s="132"/>
      <c r="W76" s="132"/>
      <c r="X76" s="132"/>
      <c r="Y76" s="132"/>
    </row>
    <row r="77" spans="1:251">
      <c r="A77" s="1"/>
      <c r="B77" s="1061">
        <v>3.2</v>
      </c>
      <c r="C77" s="147" t="s">
        <v>68</v>
      </c>
      <c r="D77" s="147"/>
      <c r="E77" s="131"/>
      <c r="F77" s="131"/>
      <c r="G77" s="131"/>
      <c r="H77" s="131"/>
      <c r="I77" s="495"/>
      <c r="J77" s="131"/>
      <c r="K77" s="131"/>
      <c r="L77" s="131"/>
      <c r="M77" s="131"/>
      <c r="N77" s="324"/>
      <c r="O77" s="324"/>
      <c r="P77" s="324"/>
      <c r="Q77" s="488"/>
      <c r="R77" s="489"/>
      <c r="S77" s="474"/>
      <c r="T77" s="132"/>
      <c r="U77" s="490"/>
      <c r="V77" s="132"/>
      <c r="W77" s="132"/>
      <c r="X77" s="132"/>
      <c r="Y77" s="132"/>
    </row>
    <row r="78" spans="1:251" ht="16.5" customHeight="1" thickBot="1">
      <c r="A78" s="1"/>
      <c r="B78" s="565"/>
      <c r="C78" s="4"/>
      <c r="D78" s="4"/>
      <c r="E78" s="131"/>
      <c r="F78" s="131"/>
      <c r="G78" s="131"/>
      <c r="H78" s="131"/>
      <c r="I78" s="131"/>
      <c r="J78" s="131"/>
      <c r="K78" s="150"/>
      <c r="L78" s="176" t="s">
        <v>2</v>
      </c>
      <c r="M78" s="373">
        <f>重み!M87</f>
        <v>0.5</v>
      </c>
      <c r="N78" s="324"/>
      <c r="O78" s="324">
        <f>C78</f>
        <v>0</v>
      </c>
      <c r="P78" s="324">
        <f t="shared" ref="P78:V78" si="5">D78</f>
        <v>0</v>
      </c>
      <c r="Q78" s="324">
        <f t="shared" si="5"/>
        <v>0</v>
      </c>
      <c r="R78" s="324">
        <f t="shared" si="5"/>
        <v>0</v>
      </c>
      <c r="S78" s="324">
        <f t="shared" si="5"/>
        <v>0</v>
      </c>
      <c r="T78" s="324">
        <f t="shared" si="5"/>
        <v>0</v>
      </c>
      <c r="U78" s="324">
        <f t="shared" si="5"/>
        <v>0</v>
      </c>
      <c r="V78" s="324">
        <f t="shared" si="5"/>
        <v>0</v>
      </c>
      <c r="W78" s="324" t="str">
        <f>L78</f>
        <v>重み係数＝</v>
      </c>
      <c r="X78" s="324">
        <f>M78</f>
        <v>0.5</v>
      </c>
      <c r="Y78" s="324">
        <f>N78</f>
        <v>0</v>
      </c>
    </row>
    <row r="79" spans="1:251" ht="16.5" customHeight="1" thickBot="1">
      <c r="A79" s="26"/>
      <c r="B79" s="562"/>
      <c r="C79" s="164"/>
      <c r="D79" s="1050">
        <f>ROUND(IF(F94=0,3,IF(F94&lt;=1,4,5)),0)</f>
        <v>3</v>
      </c>
      <c r="E79" s="2391" t="s">
        <v>391</v>
      </c>
      <c r="F79" s="2392"/>
      <c r="G79" s="2392"/>
      <c r="H79" s="2392"/>
      <c r="I79" s="2392"/>
      <c r="J79" s="2392"/>
      <c r="K79" s="2392"/>
      <c r="L79" s="2392"/>
      <c r="M79" s="2393"/>
      <c r="N79" s="324"/>
      <c r="O79" s="324"/>
      <c r="P79" s="324"/>
      <c r="V79" s="132"/>
      <c r="W79" s="132"/>
      <c r="X79" s="132"/>
      <c r="Y79" s="132"/>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c r="EA79" s="326"/>
      <c r="EB79" s="326"/>
      <c r="EC79" s="326"/>
      <c r="ED79" s="326"/>
      <c r="EE79" s="326"/>
      <c r="EF79" s="326"/>
      <c r="EG79" s="326"/>
      <c r="EH79" s="326"/>
      <c r="EI79" s="326"/>
      <c r="EJ79" s="326"/>
      <c r="EK79" s="326"/>
      <c r="EL79" s="326"/>
      <c r="EM79" s="326"/>
      <c r="EN79" s="326"/>
      <c r="EO79" s="326"/>
      <c r="EP79" s="326"/>
      <c r="EQ79" s="326"/>
      <c r="ER79" s="326"/>
      <c r="ES79" s="326"/>
      <c r="ET79" s="326"/>
      <c r="EU79" s="326"/>
      <c r="EV79" s="326"/>
      <c r="EW79" s="326"/>
      <c r="EX79" s="326"/>
      <c r="EY79" s="326"/>
      <c r="EZ79" s="326"/>
      <c r="FA79" s="326"/>
      <c r="FB79" s="326"/>
      <c r="FC79" s="326"/>
      <c r="FD79" s="326"/>
      <c r="FE79" s="326"/>
      <c r="FF79" s="326"/>
      <c r="FG79" s="326"/>
      <c r="FH79" s="326"/>
      <c r="FI79" s="326"/>
      <c r="FJ79" s="326"/>
      <c r="FK79" s="326"/>
      <c r="FL79" s="326"/>
      <c r="FM79" s="326"/>
      <c r="FN79" s="326"/>
      <c r="FO79" s="326"/>
      <c r="FP79" s="326"/>
      <c r="FQ79" s="326"/>
      <c r="FR79" s="326"/>
      <c r="FS79" s="326"/>
      <c r="FT79" s="326"/>
      <c r="FU79" s="326"/>
      <c r="FV79" s="326"/>
      <c r="FW79" s="326"/>
      <c r="FX79" s="326"/>
      <c r="FY79" s="326"/>
      <c r="FZ79" s="326"/>
      <c r="GA79" s="326"/>
      <c r="GB79" s="326"/>
      <c r="GC79" s="326"/>
      <c r="GD79" s="326"/>
      <c r="GE79" s="326"/>
      <c r="GF79" s="326"/>
      <c r="GG79" s="326"/>
      <c r="GH79" s="326"/>
      <c r="GI79" s="326"/>
      <c r="GJ79" s="326"/>
      <c r="GK79" s="326"/>
      <c r="GL79" s="326"/>
      <c r="GM79" s="326"/>
      <c r="GN79" s="326"/>
      <c r="GO79" s="326"/>
      <c r="GP79" s="326"/>
      <c r="GQ79" s="326"/>
      <c r="GR79" s="326"/>
      <c r="GS79" s="326"/>
      <c r="GT79" s="326"/>
      <c r="GU79" s="326"/>
      <c r="GV79" s="326"/>
      <c r="GW79" s="326"/>
      <c r="GX79" s="326"/>
      <c r="GY79" s="326"/>
      <c r="GZ79" s="326"/>
      <c r="HA79" s="326"/>
      <c r="HB79" s="326"/>
      <c r="HC79" s="326"/>
      <c r="HD79" s="326"/>
      <c r="HE79" s="326"/>
      <c r="HF79" s="326"/>
      <c r="HG79" s="326"/>
      <c r="HH79" s="326"/>
      <c r="HI79" s="326"/>
      <c r="HJ79" s="326"/>
      <c r="HK79" s="326"/>
      <c r="HL79" s="326"/>
      <c r="HM79" s="326"/>
      <c r="HN79" s="326"/>
      <c r="HO79" s="326"/>
      <c r="HP79" s="326"/>
      <c r="HQ79" s="326"/>
      <c r="HR79" s="326"/>
      <c r="HS79" s="326"/>
      <c r="HT79" s="326"/>
      <c r="HU79" s="326"/>
      <c r="HV79" s="326"/>
      <c r="HW79" s="326"/>
      <c r="HX79" s="326"/>
      <c r="HY79" s="326"/>
      <c r="HZ79" s="326"/>
      <c r="IA79" s="326"/>
      <c r="IB79" s="326"/>
      <c r="IC79" s="326"/>
      <c r="ID79" s="326"/>
      <c r="IE79" s="326"/>
      <c r="IF79" s="326"/>
      <c r="IG79" s="326"/>
      <c r="IH79" s="326"/>
      <c r="II79" s="326"/>
      <c r="IJ79" s="326"/>
      <c r="IK79" s="326"/>
      <c r="IL79" s="326"/>
      <c r="IM79" s="326"/>
      <c r="IN79" s="326"/>
      <c r="IO79" s="326"/>
      <c r="IP79" s="326"/>
      <c r="IQ79" s="326"/>
    </row>
    <row r="80" spans="1:251" s="37" customFormat="1" ht="16.5" customHeight="1">
      <c r="A80" s="26"/>
      <c r="B80" s="562"/>
      <c r="C80" s="164"/>
      <c r="D80" s="491" t="str">
        <f>IF(D79=$Q$69,$R$64,IF(ROUNDDOWN(D79,0)=$Q$64,$S$64,$R$64))</f>
        <v>　レベル　1</v>
      </c>
      <c r="E80" s="536" t="s">
        <v>383</v>
      </c>
      <c r="F80" s="520"/>
      <c r="G80" s="520"/>
      <c r="H80" s="520"/>
      <c r="I80" s="520"/>
      <c r="J80" s="520"/>
      <c r="K80" s="520"/>
      <c r="L80" s="520"/>
      <c r="M80" s="521"/>
      <c r="N80" s="324"/>
      <c r="O80" s="324"/>
      <c r="P80" s="382" t="s">
        <v>48</v>
      </c>
      <c r="U80" s="382">
        <f>$Q$64</f>
        <v>1</v>
      </c>
    </row>
    <row r="81" spans="1:25" s="37" customFormat="1" ht="16.5" customHeight="1">
      <c r="A81" s="26"/>
      <c r="B81" s="562"/>
      <c r="C81" s="164"/>
      <c r="D81" s="491" t="str">
        <f>IF(D79=$Q$69,$R$65,IF(ROUNDDOWN(D79,0)=$Q$65,$S$65,$R$65))</f>
        <v>　レベル　2</v>
      </c>
      <c r="E81" s="535" t="s">
        <v>383</v>
      </c>
      <c r="F81" s="513"/>
      <c r="G81" s="513"/>
      <c r="H81" s="513"/>
      <c r="I81" s="513"/>
      <c r="J81" s="513"/>
      <c r="K81" s="513"/>
      <c r="L81" s="513"/>
      <c r="M81" s="514"/>
      <c r="N81" s="324"/>
      <c r="O81" s="324"/>
      <c r="P81" s="382" t="s">
        <v>48</v>
      </c>
      <c r="U81" s="382">
        <f>$Q$65</f>
        <v>2</v>
      </c>
    </row>
    <row r="82" spans="1:25" s="37" customFormat="1" ht="16.5" customHeight="1">
      <c r="A82" s="26"/>
      <c r="B82" s="562"/>
      <c r="C82" s="164"/>
      <c r="D82" s="491" t="str">
        <f>IF(D79=$Q$69,$R$66,IF(ROUNDDOWN(D79,0)=$Q$66,$S$66,$R$66))</f>
        <v>■レベル　3</v>
      </c>
      <c r="E82" s="535" t="s">
        <v>69</v>
      </c>
      <c r="F82" s="513"/>
      <c r="G82" s="513"/>
      <c r="H82" s="513"/>
      <c r="I82" s="513"/>
      <c r="J82" s="513"/>
      <c r="K82" s="513"/>
      <c r="L82" s="513"/>
      <c r="M82" s="514"/>
      <c r="N82" s="324"/>
      <c r="O82" s="324"/>
      <c r="P82" s="382">
        <f>$Q$66</f>
        <v>3</v>
      </c>
      <c r="U82" s="382">
        <f>$Q$66</f>
        <v>3</v>
      </c>
    </row>
    <row r="83" spans="1:25" s="37" customFormat="1" ht="16.5" customHeight="1">
      <c r="A83" s="26"/>
      <c r="B83" s="562"/>
      <c r="C83" s="164"/>
      <c r="D83" s="491" t="str">
        <f>IF(D79=$Q$69,$R$67,IF(ROUNDDOWN(D79,0)=$Q$67,$S$67,$R$67))</f>
        <v>　レベル　4</v>
      </c>
      <c r="E83" s="535" t="s">
        <v>1224</v>
      </c>
      <c r="F83" s="569"/>
      <c r="G83" s="569"/>
      <c r="H83" s="569"/>
      <c r="I83" s="569"/>
      <c r="J83" s="569"/>
      <c r="K83" s="569"/>
      <c r="L83" s="569"/>
      <c r="M83" s="570"/>
      <c r="N83" s="324"/>
      <c r="O83" s="324"/>
      <c r="P83" s="382">
        <f>$Q$67</f>
        <v>4</v>
      </c>
      <c r="U83" s="382">
        <f>$Q$67</f>
        <v>4</v>
      </c>
    </row>
    <row r="84" spans="1:25" s="37" customFormat="1" ht="16.5" customHeight="1">
      <c r="A84" s="26"/>
      <c r="B84" s="562"/>
      <c r="C84" s="164"/>
      <c r="D84" s="492" t="str">
        <f>IF(D79=$Q$69,$R$68,IF(ROUNDDOWN(D79,0)=$Q$68,$S$68,$R$68))</f>
        <v>　レベル　5</v>
      </c>
      <c r="E84" s="561" t="s">
        <v>1225</v>
      </c>
      <c r="F84" s="787"/>
      <c r="G84" s="787"/>
      <c r="H84" s="787"/>
      <c r="I84" s="787"/>
      <c r="J84" s="787"/>
      <c r="K84" s="787"/>
      <c r="L84" s="787"/>
      <c r="M84" s="788"/>
      <c r="N84" s="324"/>
      <c r="O84" s="324"/>
      <c r="P84" s="382">
        <f>$Q$68</f>
        <v>5</v>
      </c>
      <c r="U84" s="382">
        <f>$Q$68</f>
        <v>5</v>
      </c>
    </row>
    <row r="85" spans="1:25" s="37" customFormat="1" ht="16.5" customHeight="1">
      <c r="A85" s="26"/>
      <c r="B85" s="562"/>
      <c r="C85" s="164"/>
      <c r="D85" s="518"/>
      <c r="E85" s="152" t="s">
        <v>399</v>
      </c>
      <c r="F85" s="51"/>
      <c r="G85" s="151"/>
      <c r="H85" s="40"/>
      <c r="I85" s="40"/>
      <c r="J85" s="51"/>
      <c r="K85" s="51"/>
      <c r="L85" s="51"/>
      <c r="M85" s="51"/>
      <c r="N85" s="144"/>
      <c r="O85" s="324"/>
      <c r="P85" s="382" t="s">
        <v>60</v>
      </c>
      <c r="U85" s="382" t="str">
        <f>$Q$69</f>
        <v>対象外</v>
      </c>
    </row>
    <row r="86" spans="1:25" ht="16.5" customHeight="1" thickBot="1">
      <c r="A86" s="1"/>
      <c r="B86" s="562"/>
      <c r="C86" s="131"/>
      <c r="D86" s="131"/>
      <c r="E86" s="140" t="s">
        <v>331</v>
      </c>
      <c r="F86" s="511" t="s">
        <v>70</v>
      </c>
      <c r="G86" s="507"/>
      <c r="H86" s="531" t="s">
        <v>74</v>
      </c>
      <c r="I86" s="531"/>
      <c r="J86" s="531"/>
      <c r="K86" s="531"/>
      <c r="L86" s="531"/>
      <c r="M86" s="532"/>
      <c r="N86" s="144"/>
      <c r="O86" s="324"/>
      <c r="P86" s="324"/>
      <c r="Q86" s="324"/>
      <c r="R86" s="324"/>
      <c r="S86" s="324"/>
      <c r="T86" s="324"/>
      <c r="U86" s="324"/>
      <c r="V86" s="324"/>
      <c r="W86" s="324"/>
      <c r="X86" s="324"/>
      <c r="Y86" s="324"/>
    </row>
    <row r="87" spans="1:25" s="37" customFormat="1" ht="23.25" customHeight="1">
      <c r="A87" s="26"/>
      <c r="B87" s="564"/>
      <c r="C87" s="164"/>
      <c r="D87" s="164"/>
      <c r="E87" s="2532"/>
      <c r="F87" s="2534">
        <v>1</v>
      </c>
      <c r="G87" s="2536" t="s">
        <v>1096</v>
      </c>
      <c r="H87" s="2537"/>
      <c r="I87" s="2559" t="s">
        <v>1097</v>
      </c>
      <c r="J87" s="2560"/>
      <c r="K87" s="2560"/>
      <c r="L87" s="2560"/>
      <c r="M87" s="2561"/>
      <c r="N87" s="144"/>
      <c r="O87" s="1862"/>
      <c r="P87" s="1862"/>
      <c r="Q87" s="1862"/>
      <c r="R87" s="1862"/>
      <c r="S87" s="1862"/>
      <c r="T87" s="1862"/>
      <c r="U87" s="1862"/>
      <c r="V87" s="1862"/>
      <c r="W87" s="1862"/>
      <c r="X87" s="1862"/>
      <c r="Y87" s="1862"/>
    </row>
    <row r="88" spans="1:25" s="37" customFormat="1" ht="23.25" customHeight="1">
      <c r="A88" s="26"/>
      <c r="B88" s="564"/>
      <c r="C88" s="164"/>
      <c r="D88" s="164"/>
      <c r="E88" s="2533"/>
      <c r="F88" s="2535"/>
      <c r="G88" s="2538"/>
      <c r="H88" s="2539"/>
      <c r="I88" s="2540" t="s">
        <v>1098</v>
      </c>
      <c r="J88" s="2541"/>
      <c r="K88" s="2541"/>
      <c r="L88" s="2541"/>
      <c r="M88" s="2542"/>
      <c r="N88" s="144"/>
      <c r="O88" s="1862"/>
      <c r="P88" s="1862"/>
      <c r="Q88" s="1862"/>
      <c r="R88" s="1862"/>
      <c r="S88" s="1862"/>
      <c r="T88" s="1862"/>
      <c r="U88" s="1862"/>
      <c r="V88" s="1862"/>
      <c r="W88" s="1862"/>
      <c r="X88" s="1862"/>
      <c r="Y88" s="1862"/>
    </row>
    <row r="89" spans="1:25" ht="23.25" customHeight="1">
      <c r="A89" s="1"/>
      <c r="B89" s="562"/>
      <c r="C89" s="131"/>
      <c r="D89" s="131"/>
      <c r="E89" s="737"/>
      <c r="F89" s="1291">
        <v>2</v>
      </c>
      <c r="G89" s="2555" t="s">
        <v>628</v>
      </c>
      <c r="H89" s="2556"/>
      <c r="I89" s="2540" t="s">
        <v>629</v>
      </c>
      <c r="J89" s="2406"/>
      <c r="K89" s="2406"/>
      <c r="L89" s="2406"/>
      <c r="M89" s="2407"/>
      <c r="N89" s="144"/>
      <c r="O89" s="324"/>
      <c r="P89" s="324"/>
      <c r="Q89" s="324"/>
      <c r="R89" s="324"/>
      <c r="S89" s="324"/>
      <c r="T89" s="324"/>
      <c r="U89" s="324"/>
      <c r="V89" s="324"/>
      <c r="W89" s="324"/>
      <c r="X89" s="324"/>
      <c r="Y89" s="324"/>
    </row>
    <row r="90" spans="1:25" ht="23.25" customHeight="1">
      <c r="A90" s="1"/>
      <c r="B90" s="562"/>
      <c r="C90" s="131"/>
      <c r="D90" s="131"/>
      <c r="E90" s="2571"/>
      <c r="F90" s="2495">
        <v>3</v>
      </c>
      <c r="G90" s="2555" t="s">
        <v>658</v>
      </c>
      <c r="H90" s="2556"/>
      <c r="I90" s="2540" t="s">
        <v>630</v>
      </c>
      <c r="J90" s="2406"/>
      <c r="K90" s="2406"/>
      <c r="L90" s="2406"/>
      <c r="M90" s="2407"/>
      <c r="N90" s="144"/>
      <c r="O90" s="324"/>
      <c r="P90" s="324"/>
      <c r="Q90" s="324"/>
      <c r="R90" s="324"/>
      <c r="S90" s="324"/>
      <c r="T90" s="324"/>
      <c r="U90" s="324"/>
      <c r="V90" s="324"/>
      <c r="W90" s="324"/>
      <c r="X90" s="324"/>
      <c r="Y90" s="324"/>
    </row>
    <row r="91" spans="1:25" ht="23.25" customHeight="1">
      <c r="A91" s="1"/>
      <c r="B91" s="562"/>
      <c r="C91" s="131"/>
      <c r="D91" s="131"/>
      <c r="E91" s="2572"/>
      <c r="F91" s="2497"/>
      <c r="G91" s="2557"/>
      <c r="H91" s="2558"/>
      <c r="I91" s="2540" t="s">
        <v>631</v>
      </c>
      <c r="J91" s="2406"/>
      <c r="K91" s="2406"/>
      <c r="L91" s="2406"/>
      <c r="M91" s="2407"/>
      <c r="N91" s="144"/>
      <c r="O91" s="324"/>
      <c r="P91" s="324"/>
      <c r="Q91" s="324"/>
      <c r="R91" s="324"/>
      <c r="S91" s="324"/>
      <c r="T91" s="324"/>
      <c r="U91" s="324"/>
      <c r="V91" s="324"/>
      <c r="W91" s="324"/>
      <c r="X91" s="324"/>
      <c r="Y91" s="324"/>
    </row>
    <row r="92" spans="1:25" ht="31.5" customHeight="1">
      <c r="A92" s="1"/>
      <c r="B92" s="562"/>
      <c r="C92" s="131"/>
      <c r="D92" s="131"/>
      <c r="E92" s="2571"/>
      <c r="F92" s="2495">
        <v>4</v>
      </c>
      <c r="G92" s="2576" t="s">
        <v>1226</v>
      </c>
      <c r="H92" s="2577"/>
      <c r="I92" s="2540" t="s">
        <v>632</v>
      </c>
      <c r="J92" s="2574"/>
      <c r="K92" s="2574"/>
      <c r="L92" s="2574"/>
      <c r="M92" s="2575"/>
      <c r="N92" s="144"/>
      <c r="O92" s="324"/>
      <c r="P92" s="324"/>
      <c r="Q92" s="324"/>
      <c r="R92" s="324"/>
      <c r="S92" s="324"/>
      <c r="T92" s="324"/>
      <c r="U92" s="324"/>
      <c r="V92" s="324"/>
      <c r="W92" s="324"/>
      <c r="X92" s="324"/>
      <c r="Y92" s="324"/>
    </row>
    <row r="93" spans="1:25" ht="23.25" customHeight="1" thickBot="1">
      <c r="A93" s="1"/>
      <c r="B93" s="562"/>
      <c r="C93" s="131"/>
      <c r="D93" s="131"/>
      <c r="E93" s="2573"/>
      <c r="F93" s="2581"/>
      <c r="G93" s="2578"/>
      <c r="H93" s="2579"/>
      <c r="I93" s="2580" t="s">
        <v>633</v>
      </c>
      <c r="J93" s="2408"/>
      <c r="K93" s="2408"/>
      <c r="L93" s="2408"/>
      <c r="M93" s="2409"/>
      <c r="N93" s="144"/>
      <c r="O93" s="324"/>
      <c r="P93" s="324"/>
      <c r="Q93" s="324"/>
      <c r="R93" s="324"/>
      <c r="S93" s="324"/>
      <c r="T93" s="324"/>
      <c r="U93" s="324"/>
      <c r="V93" s="324"/>
      <c r="W93" s="324"/>
      <c r="X93" s="324"/>
      <c r="Y93" s="324"/>
    </row>
    <row r="94" spans="1:25" ht="16.5" customHeight="1">
      <c r="A94" s="1"/>
      <c r="B94" s="1042"/>
      <c r="C94" s="1043"/>
      <c r="D94" s="1043"/>
      <c r="E94" s="596" t="s">
        <v>278</v>
      </c>
      <c r="F94" s="1020">
        <f>COUNTIF(E87:E93,"○")</f>
        <v>0</v>
      </c>
      <c r="G94" s="1028"/>
      <c r="H94" s="1028"/>
      <c r="I94" s="139"/>
      <c r="J94" s="139"/>
      <c r="K94" s="139"/>
      <c r="L94" s="477"/>
      <c r="M94" s="540"/>
      <c r="N94" s="144"/>
      <c r="O94" s="4"/>
      <c r="P94" s="4"/>
    </row>
    <row r="95" spans="1:25" s="144" customFormat="1" ht="8.25" customHeight="1">
      <c r="A95" s="51"/>
      <c r="B95" s="164"/>
      <c r="C95" s="607"/>
      <c r="D95" s="309"/>
      <c r="E95" s="309"/>
      <c r="F95" s="1"/>
      <c r="G95" s="1"/>
      <c r="H95" s="1"/>
      <c r="I95" s="1"/>
      <c r="J95" s="1"/>
      <c r="K95" s="1"/>
      <c r="L95" s="1"/>
      <c r="M95" s="1"/>
      <c r="N95" s="150"/>
      <c r="P95" s="584" t="s">
        <v>60</v>
      </c>
      <c r="Q95" s="324" t="s">
        <v>82</v>
      </c>
      <c r="R95" s="4"/>
      <c r="S95" s="4"/>
      <c r="T95" s="132"/>
    </row>
    <row r="96" spans="1:25" s="144" customFormat="1" ht="21" customHeight="1">
      <c r="A96" s="51"/>
      <c r="B96" s="164"/>
      <c r="C96" s="607"/>
      <c r="E96" s="781" t="s">
        <v>3</v>
      </c>
      <c r="F96" s="782"/>
      <c r="G96" s="1201"/>
      <c r="H96" s="1201"/>
      <c r="I96" s="2388"/>
      <c r="J96" s="2389"/>
      <c r="K96" s="2389"/>
      <c r="L96" s="2389"/>
      <c r="M96" s="2390"/>
      <c r="N96" s="150"/>
      <c r="P96" s="615"/>
      <c r="Q96" s="324"/>
      <c r="R96" s="4"/>
      <c r="S96" s="4"/>
      <c r="T96" s="132"/>
      <c r="U96" s="615"/>
      <c r="V96" s="132"/>
      <c r="W96" s="132"/>
      <c r="X96" s="132"/>
      <c r="Y96" s="132"/>
    </row>
    <row r="97" spans="15:16">
      <c r="O97" s="324"/>
      <c r="P97" s="4"/>
    </row>
    <row r="98" spans="15:16" ht="15" hidden="1" customHeight="1">
      <c r="O98" s="324"/>
      <c r="P98" s="4"/>
    </row>
    <row r="99" spans="15:16" hidden="1">
      <c r="O99" s="324"/>
      <c r="P99" s="4"/>
    </row>
    <row r="100" spans="15:16" hidden="1">
      <c r="O100" s="324"/>
      <c r="P100" s="4"/>
    </row>
    <row r="101" spans="15:16" hidden="1">
      <c r="O101" s="324"/>
      <c r="P101" s="4"/>
    </row>
    <row r="102" spans="15:16" hidden="1">
      <c r="O102" s="324"/>
      <c r="P102" s="4"/>
    </row>
    <row r="103" spans="15:16" hidden="1">
      <c r="O103" s="324"/>
      <c r="P103" s="4"/>
    </row>
    <row r="104" spans="15:16" hidden="1">
      <c r="O104" s="324"/>
      <c r="P104" s="4"/>
    </row>
    <row r="105" spans="15:16" hidden="1">
      <c r="O105" s="324"/>
      <c r="P105" s="4"/>
    </row>
    <row r="106" spans="15:16" hidden="1">
      <c r="O106" s="324"/>
      <c r="P106" s="4"/>
    </row>
    <row r="107" spans="15:16" hidden="1">
      <c r="O107" s="324"/>
      <c r="P107" s="4"/>
    </row>
    <row r="108" spans="15:16" hidden="1">
      <c r="O108" s="324"/>
      <c r="P108" s="4"/>
    </row>
    <row r="109" spans="15:16" hidden="1">
      <c r="O109" s="324"/>
      <c r="P109" s="4"/>
    </row>
    <row r="110" spans="15:16" hidden="1">
      <c r="O110" s="324"/>
      <c r="P110" s="4"/>
    </row>
    <row r="111" spans="15:16" hidden="1">
      <c r="O111" s="324"/>
      <c r="P111" s="4"/>
    </row>
    <row r="112" spans="15:16" hidden="1">
      <c r="O112" s="324"/>
      <c r="P112" s="4"/>
    </row>
    <row r="113" spans="15:16" hidden="1">
      <c r="O113" s="324"/>
      <c r="P113" s="4"/>
    </row>
    <row r="114" spans="15:16" hidden="1">
      <c r="O114" s="324"/>
      <c r="P114" s="4"/>
    </row>
    <row r="115" spans="15:16" hidden="1">
      <c r="O115" s="324"/>
      <c r="P115" s="4"/>
    </row>
    <row r="116" spans="15:16" hidden="1">
      <c r="O116" s="324"/>
      <c r="P116" s="4"/>
    </row>
    <row r="117" spans="15:16" hidden="1">
      <c r="O117" s="324"/>
      <c r="P117" s="4"/>
    </row>
    <row r="118" spans="15:16" hidden="1">
      <c r="O118" s="324"/>
      <c r="P118" s="4"/>
    </row>
    <row r="119" spans="15:16" hidden="1">
      <c r="O119" s="324"/>
      <c r="P119" s="4"/>
    </row>
    <row r="120" spans="15:16" hidden="1">
      <c r="O120" s="324"/>
      <c r="P120" s="4"/>
    </row>
    <row r="121" spans="15:16" hidden="1">
      <c r="O121" s="324"/>
      <c r="P121" s="4"/>
    </row>
    <row r="122" spans="15:16" hidden="1">
      <c r="O122" s="324"/>
      <c r="P122" s="4"/>
    </row>
    <row r="123" spans="15:16" hidden="1">
      <c r="O123" s="324"/>
      <c r="P123" s="4"/>
    </row>
    <row r="124" spans="15:16" hidden="1">
      <c r="O124" s="324"/>
      <c r="P124" s="4"/>
    </row>
    <row r="125" spans="15:16" hidden="1">
      <c r="O125" s="324"/>
      <c r="P125" s="4"/>
    </row>
    <row r="126" spans="15:16" hidden="1">
      <c r="O126" s="324"/>
      <c r="P126" s="4"/>
    </row>
    <row r="127" spans="15:16" hidden="1">
      <c r="O127" s="324"/>
      <c r="P127" s="4"/>
    </row>
    <row r="128" spans="15:16" hidden="1">
      <c r="O128" s="324"/>
      <c r="P128" s="4"/>
    </row>
    <row r="129" spans="15:16" hidden="1">
      <c r="O129" s="324"/>
      <c r="P129" s="4"/>
    </row>
    <row r="130" spans="15:16" hidden="1">
      <c r="O130" s="324"/>
      <c r="P130" s="4"/>
    </row>
    <row r="131" spans="15:16" hidden="1">
      <c r="O131" s="324"/>
      <c r="P131" s="4"/>
    </row>
    <row r="132" spans="15:16" hidden="1">
      <c r="O132" s="324"/>
      <c r="P132" s="4"/>
    </row>
    <row r="133" spans="15:16" hidden="1">
      <c r="O133" s="324"/>
      <c r="P133" s="4"/>
    </row>
    <row r="134" spans="15:16" hidden="1">
      <c r="O134" s="324"/>
      <c r="P134" s="4"/>
    </row>
    <row r="135" spans="15:16" hidden="1">
      <c r="O135" s="324"/>
      <c r="P135" s="4"/>
    </row>
    <row r="136" spans="15:16" hidden="1">
      <c r="O136" s="324"/>
      <c r="P136" s="4"/>
    </row>
    <row r="137" spans="15:16" hidden="1">
      <c r="O137" s="324"/>
      <c r="P137" s="4"/>
    </row>
    <row r="138" spans="15:16" hidden="1">
      <c r="O138" s="324"/>
      <c r="P138" s="4"/>
    </row>
    <row r="139" spans="15:16" hidden="1">
      <c r="O139" s="324"/>
      <c r="P139" s="4"/>
    </row>
    <row r="140" spans="15:16" hidden="1">
      <c r="O140" s="324"/>
      <c r="P140" s="4"/>
    </row>
    <row r="141" spans="15:16" hidden="1">
      <c r="O141" s="324"/>
      <c r="P141" s="4"/>
    </row>
    <row r="142" spans="15:16" hidden="1">
      <c r="O142" s="324"/>
      <c r="P142" s="4"/>
    </row>
    <row r="143" spans="15:16" hidden="1">
      <c r="O143" s="324"/>
      <c r="P143" s="4"/>
    </row>
    <row r="144" spans="15:16" hidden="1">
      <c r="O144" s="324"/>
      <c r="P144" s="4"/>
    </row>
    <row r="145" spans="15:16" hidden="1">
      <c r="O145" s="324"/>
      <c r="P145" s="4"/>
    </row>
    <row r="146" spans="15:16" hidden="1">
      <c r="O146" s="324"/>
      <c r="P146" s="4"/>
    </row>
    <row r="147" spans="15:16" hidden="1">
      <c r="O147" s="324"/>
      <c r="P147" s="4"/>
    </row>
    <row r="148" spans="15:16" hidden="1">
      <c r="O148" s="324"/>
      <c r="P148" s="4"/>
    </row>
    <row r="149" spans="15:16" hidden="1">
      <c r="O149" s="324"/>
      <c r="P149" s="4"/>
    </row>
    <row r="150" spans="15:16" hidden="1">
      <c r="O150" s="324"/>
      <c r="P150" s="4"/>
    </row>
    <row r="151" spans="15:16" hidden="1">
      <c r="O151" s="324"/>
      <c r="P151" s="4"/>
    </row>
    <row r="152" spans="15:16" hidden="1">
      <c r="O152" s="324"/>
      <c r="P152" s="4"/>
    </row>
    <row r="153" spans="15:16" hidden="1">
      <c r="O153" s="324"/>
      <c r="P153" s="4"/>
    </row>
    <row r="154" spans="15:16" hidden="1">
      <c r="O154" s="324"/>
      <c r="P154" s="4"/>
    </row>
    <row r="155" spans="15:16" hidden="1">
      <c r="O155" s="324"/>
      <c r="P155" s="4"/>
    </row>
    <row r="156" spans="15:16" hidden="1">
      <c r="O156" s="324"/>
      <c r="P156" s="4"/>
    </row>
    <row r="157" spans="15:16" hidden="1">
      <c r="O157" s="324"/>
      <c r="P157" s="4"/>
    </row>
    <row r="158" spans="15:16" hidden="1">
      <c r="O158" s="324"/>
      <c r="P158" s="4"/>
    </row>
    <row r="159" spans="15:16" hidden="1">
      <c r="O159" s="324"/>
      <c r="P159" s="4"/>
    </row>
    <row r="160" spans="15:16" hidden="1">
      <c r="O160" s="324"/>
      <c r="P160" s="4"/>
    </row>
    <row r="161" spans="15:16" hidden="1">
      <c r="O161" s="324"/>
      <c r="P161" s="4"/>
    </row>
    <row r="162" spans="15:16" hidden="1">
      <c r="O162" s="324"/>
      <c r="P162" s="4"/>
    </row>
    <row r="163" spans="15:16" hidden="1">
      <c r="O163" s="324"/>
      <c r="P163" s="4"/>
    </row>
    <row r="164" spans="15:16" hidden="1">
      <c r="O164" s="324"/>
      <c r="P164" s="4"/>
    </row>
    <row r="165" spans="15:16" hidden="1">
      <c r="O165" s="324"/>
      <c r="P165" s="4"/>
    </row>
    <row r="166" spans="15:16" hidden="1">
      <c r="O166" s="324"/>
      <c r="P166" s="4"/>
    </row>
    <row r="167" spans="15:16" hidden="1">
      <c r="O167" s="324"/>
      <c r="P167" s="4"/>
    </row>
    <row r="168" spans="15:16" hidden="1">
      <c r="O168" s="324"/>
      <c r="P168" s="4"/>
    </row>
    <row r="169" spans="15:16" hidden="1">
      <c r="O169" s="324"/>
      <c r="P169" s="4"/>
    </row>
    <row r="170" spans="15:16" hidden="1">
      <c r="O170" s="324"/>
      <c r="P170" s="4"/>
    </row>
    <row r="171" spans="15:16" hidden="1">
      <c r="O171" s="324"/>
      <c r="P171" s="4"/>
    </row>
    <row r="172" spans="15:16" hidden="1">
      <c r="O172" s="324"/>
      <c r="P172" s="4"/>
    </row>
    <row r="173" spans="15:16" hidden="1">
      <c r="O173" s="324"/>
      <c r="P173" s="4"/>
    </row>
    <row r="174" spans="15:16" hidden="1">
      <c r="O174" s="324"/>
      <c r="P174" s="4"/>
    </row>
    <row r="175" spans="15:16" hidden="1">
      <c r="O175" s="324"/>
      <c r="P175" s="4"/>
    </row>
    <row r="176" spans="15:16" hidden="1">
      <c r="O176" s="324"/>
      <c r="P176" s="4"/>
    </row>
    <row r="177" spans="15:16" hidden="1">
      <c r="O177" s="324"/>
      <c r="P177" s="4"/>
    </row>
    <row r="178" spans="15:16" hidden="1">
      <c r="O178" s="324"/>
      <c r="P178" s="4"/>
    </row>
    <row r="179" spans="15:16" hidden="1">
      <c r="O179" s="324"/>
      <c r="P179" s="4"/>
    </row>
    <row r="180" spans="15:16" hidden="1">
      <c r="O180" s="324"/>
      <c r="P180" s="4"/>
    </row>
    <row r="181" spans="15:16" hidden="1">
      <c r="O181" s="324"/>
      <c r="P181" s="4"/>
    </row>
    <row r="182" spans="15:16" hidden="1">
      <c r="O182" s="324"/>
      <c r="P182" s="4"/>
    </row>
    <row r="183" spans="15:16" hidden="1">
      <c r="O183" s="324"/>
      <c r="P183" s="4"/>
    </row>
    <row r="184" spans="15:16" hidden="1">
      <c r="O184" s="324"/>
      <c r="P184" s="4"/>
    </row>
    <row r="185" spans="15:16" hidden="1">
      <c r="O185" s="324"/>
      <c r="P185" s="4"/>
    </row>
    <row r="186" spans="15:16" hidden="1">
      <c r="O186" s="324"/>
      <c r="P186" s="4"/>
    </row>
    <row r="187" spans="15:16" hidden="1">
      <c r="O187" s="324"/>
      <c r="P187" s="4"/>
    </row>
    <row r="188" spans="15:16" hidden="1">
      <c r="O188" s="324"/>
      <c r="P188" s="4"/>
    </row>
    <row r="189" spans="15:16" hidden="1">
      <c r="O189" s="324"/>
      <c r="P189" s="4"/>
    </row>
    <row r="190" spans="15:16" hidden="1">
      <c r="O190" s="324"/>
      <c r="P190" s="4"/>
    </row>
    <row r="191" spans="15:16" hidden="1">
      <c r="O191" s="324"/>
      <c r="P191" s="4"/>
    </row>
    <row r="192" spans="15:16" hidden="1">
      <c r="O192" s="324"/>
      <c r="P192" s="4"/>
    </row>
    <row r="193" spans="15:16" hidden="1">
      <c r="O193" s="324"/>
      <c r="P193" s="4"/>
    </row>
    <row r="194" spans="15:16" hidden="1">
      <c r="O194" s="324"/>
      <c r="P194" s="4"/>
    </row>
    <row r="195" spans="15:16" hidden="1">
      <c r="O195" s="324"/>
      <c r="P195" s="4"/>
    </row>
    <row r="196" spans="15:16" hidden="1">
      <c r="O196" s="324"/>
      <c r="P196" s="4"/>
    </row>
    <row r="197" spans="15:16" hidden="1">
      <c r="O197" s="324"/>
      <c r="P197" s="4"/>
    </row>
    <row r="198" spans="15:16" hidden="1">
      <c r="O198" s="324"/>
      <c r="P198" s="4"/>
    </row>
    <row r="199" spans="15:16" hidden="1">
      <c r="O199" s="324"/>
      <c r="P199" s="4"/>
    </row>
    <row r="200" spans="15:16" hidden="1">
      <c r="O200" s="324"/>
      <c r="P200" s="4"/>
    </row>
    <row r="201" spans="15:16" hidden="1">
      <c r="O201" s="324"/>
      <c r="P201" s="4"/>
    </row>
    <row r="202" spans="15:16" hidden="1">
      <c r="O202" s="324"/>
      <c r="P202" s="4"/>
    </row>
    <row r="203" spans="15:16" hidden="1">
      <c r="O203" s="324"/>
      <c r="P203" s="4"/>
    </row>
    <row r="204" spans="15:16" hidden="1">
      <c r="O204" s="324"/>
      <c r="P204" s="4"/>
    </row>
    <row r="205" spans="15:16" hidden="1">
      <c r="O205" s="324"/>
      <c r="P205" s="4"/>
    </row>
    <row r="206" spans="15:16" hidden="1">
      <c r="O206" s="324"/>
      <c r="P206" s="4"/>
    </row>
    <row r="207" spans="15:16" hidden="1">
      <c r="O207" s="324"/>
      <c r="P207" s="4"/>
    </row>
    <row r="208" spans="15:16" hidden="1">
      <c r="O208" s="324"/>
      <c r="P208" s="4"/>
    </row>
    <row r="209" spans="15:16" hidden="1">
      <c r="O209" s="324"/>
      <c r="P209" s="4"/>
    </row>
    <row r="210" spans="15:16" hidden="1">
      <c r="O210" s="324"/>
      <c r="P210" s="4"/>
    </row>
    <row r="211" spans="15:16" hidden="1">
      <c r="O211" s="324"/>
      <c r="P211" s="4"/>
    </row>
    <row r="212" spans="15:16" hidden="1">
      <c r="O212" s="324"/>
      <c r="P212" s="4"/>
    </row>
    <row r="213" spans="15:16" hidden="1">
      <c r="O213" s="324"/>
      <c r="P213" s="4"/>
    </row>
    <row r="214" spans="15:16" hidden="1">
      <c r="O214" s="324"/>
      <c r="P214" s="4"/>
    </row>
    <row r="215" spans="15:16" hidden="1">
      <c r="O215" s="324"/>
      <c r="P215" s="4"/>
    </row>
    <row r="216" spans="15:16" hidden="1">
      <c r="O216" s="324"/>
      <c r="P216" s="4"/>
    </row>
    <row r="217" spans="15:16" hidden="1">
      <c r="O217" s="324"/>
      <c r="P217" s="4"/>
    </row>
    <row r="218" spans="15:16" hidden="1">
      <c r="O218" s="324"/>
      <c r="P218" s="4"/>
    </row>
    <row r="219" spans="15:16" hidden="1">
      <c r="O219" s="324"/>
      <c r="P219" s="4"/>
    </row>
    <row r="220" spans="15:16" hidden="1">
      <c r="O220" s="324"/>
      <c r="P220" s="4"/>
    </row>
    <row r="221" spans="15:16" hidden="1">
      <c r="O221" s="324"/>
      <c r="P221" s="4"/>
    </row>
    <row r="222" spans="15:16" hidden="1">
      <c r="O222" s="324"/>
      <c r="P222" s="4"/>
    </row>
    <row r="223" spans="15:16" hidden="1">
      <c r="O223" s="324"/>
      <c r="P223" s="4"/>
    </row>
    <row r="224" spans="15:16" hidden="1">
      <c r="O224" s="324"/>
      <c r="P224" s="4"/>
    </row>
    <row r="225" spans="15:16" hidden="1">
      <c r="O225" s="324"/>
      <c r="P225" s="4"/>
    </row>
    <row r="226" spans="15:16" hidden="1">
      <c r="O226" s="324"/>
      <c r="P226" s="4"/>
    </row>
    <row r="227" spans="15:16" hidden="1">
      <c r="O227" s="324"/>
      <c r="P227" s="4"/>
    </row>
    <row r="228" spans="15:16" hidden="1">
      <c r="O228" s="324"/>
      <c r="P228" s="4"/>
    </row>
    <row r="229" spans="15:16" hidden="1">
      <c r="O229" s="324"/>
      <c r="P229" s="4"/>
    </row>
    <row r="230" spans="15:16" hidden="1">
      <c r="O230" s="324"/>
      <c r="P230" s="4"/>
    </row>
    <row r="231" spans="15:16" hidden="1">
      <c r="O231" s="324"/>
      <c r="P231" s="4"/>
    </row>
    <row r="232" spans="15:16" hidden="1">
      <c r="O232" s="324"/>
      <c r="P232" s="4"/>
    </row>
    <row r="233" spans="15:16" hidden="1">
      <c r="O233" s="324"/>
      <c r="P233" s="4"/>
    </row>
    <row r="234" spans="15:16" hidden="1">
      <c r="O234" s="324"/>
      <c r="P234" s="4"/>
    </row>
    <row r="235" spans="15:16" hidden="1">
      <c r="O235" s="324"/>
      <c r="P235" s="4"/>
    </row>
    <row r="236" spans="15:16" hidden="1">
      <c r="O236" s="324"/>
      <c r="P236" s="4"/>
    </row>
    <row r="237" spans="15:16" hidden="1">
      <c r="O237" s="324"/>
      <c r="P237" s="4"/>
    </row>
    <row r="238" spans="15:16" hidden="1">
      <c r="O238" s="324"/>
      <c r="P238" s="4"/>
    </row>
    <row r="239" spans="15:16" hidden="1">
      <c r="O239" s="324"/>
      <c r="P239" s="4"/>
    </row>
    <row r="240" spans="15:16" hidden="1">
      <c r="O240" s="324"/>
      <c r="P240" s="4"/>
    </row>
    <row r="241" spans="15:16" hidden="1">
      <c r="O241" s="324"/>
      <c r="P241" s="4"/>
    </row>
    <row r="242" spans="15:16" hidden="1">
      <c r="O242" s="324"/>
      <c r="P242" s="4"/>
    </row>
    <row r="243" spans="15:16" hidden="1">
      <c r="O243" s="324"/>
      <c r="P243" s="4"/>
    </row>
    <row r="244" spans="15:16" hidden="1">
      <c r="O244" s="324"/>
      <c r="P244" s="4"/>
    </row>
    <row r="245" spans="15:16" hidden="1">
      <c r="O245" s="324"/>
      <c r="P245" s="4"/>
    </row>
    <row r="246" spans="15:16" hidden="1">
      <c r="O246" s="324"/>
      <c r="P246" s="4"/>
    </row>
    <row r="247" spans="15:16" hidden="1">
      <c r="O247" s="324"/>
      <c r="P247" s="4"/>
    </row>
    <row r="248" spans="15:16" hidden="1">
      <c r="O248" s="324"/>
      <c r="P248" s="4"/>
    </row>
    <row r="249" spans="15:16" hidden="1">
      <c r="O249" s="324"/>
      <c r="P249" s="4"/>
    </row>
    <row r="250" spans="15:16" hidden="1">
      <c r="O250" s="324"/>
      <c r="P250" s="4"/>
    </row>
    <row r="251" spans="15:16" hidden="1">
      <c r="O251" s="324"/>
      <c r="P251" s="4"/>
    </row>
    <row r="252" spans="15:16" hidden="1">
      <c r="O252" s="324"/>
      <c r="P252" s="4"/>
    </row>
    <row r="253" spans="15:16" hidden="1">
      <c r="O253" s="324"/>
      <c r="P253" s="4"/>
    </row>
    <row r="254" spans="15:16" hidden="1">
      <c r="O254" s="324"/>
      <c r="P254" s="4"/>
    </row>
    <row r="255" spans="15:16" hidden="1">
      <c r="O255" s="324"/>
      <c r="P255" s="4"/>
    </row>
    <row r="256" spans="15:16" hidden="1">
      <c r="O256" s="324"/>
      <c r="P256" s="4"/>
    </row>
    <row r="257" spans="15:16" hidden="1">
      <c r="O257" s="324"/>
      <c r="P257" s="4"/>
    </row>
    <row r="258" spans="15:16" hidden="1">
      <c r="O258" s="324"/>
      <c r="P258" s="4"/>
    </row>
    <row r="259" spans="15:16" hidden="1">
      <c r="O259" s="324"/>
      <c r="P259" s="4"/>
    </row>
    <row r="260" spans="15:16" hidden="1">
      <c r="O260" s="324"/>
      <c r="P260" s="4"/>
    </row>
    <row r="261" spans="15:16" hidden="1">
      <c r="O261" s="324"/>
      <c r="P261" s="4"/>
    </row>
    <row r="262" spans="15:16" hidden="1">
      <c r="O262" s="324"/>
      <c r="P262" s="4"/>
    </row>
    <row r="263" spans="15:16" hidden="1">
      <c r="O263" s="324"/>
      <c r="P263" s="4"/>
    </row>
    <row r="264" spans="15:16" hidden="1">
      <c r="O264" s="324"/>
      <c r="P264" s="4"/>
    </row>
    <row r="265" spans="15:16" hidden="1">
      <c r="O265" s="324"/>
      <c r="P265" s="4"/>
    </row>
    <row r="266" spans="15:16" hidden="1">
      <c r="O266" s="324"/>
      <c r="P266" s="4"/>
    </row>
    <row r="267" spans="15:16" hidden="1">
      <c r="O267" s="324"/>
      <c r="P267" s="4"/>
    </row>
    <row r="268" spans="15:16" hidden="1">
      <c r="O268" s="324"/>
      <c r="P268" s="4"/>
    </row>
    <row r="269" spans="15:16" hidden="1">
      <c r="O269" s="324"/>
      <c r="P269" s="4"/>
    </row>
    <row r="270" spans="15:16" hidden="1">
      <c r="O270" s="324"/>
      <c r="P270" s="4"/>
    </row>
    <row r="271" spans="15:16" hidden="1">
      <c r="O271" s="324"/>
      <c r="P271" s="4"/>
    </row>
    <row r="272" spans="15:16" hidden="1">
      <c r="O272" s="324"/>
      <c r="P272" s="4"/>
    </row>
    <row r="273" spans="15:16" hidden="1">
      <c r="O273" s="324"/>
      <c r="P273" s="4"/>
    </row>
    <row r="274" spans="15:16" hidden="1">
      <c r="O274" s="324"/>
      <c r="P274" s="4"/>
    </row>
    <row r="275" spans="15:16" hidden="1">
      <c r="O275" s="324"/>
      <c r="P275" s="4"/>
    </row>
    <row r="276" spans="15:16" hidden="1">
      <c r="O276" s="324"/>
      <c r="P276" s="4"/>
    </row>
    <row r="277" spans="15:16" hidden="1">
      <c r="O277" s="324"/>
      <c r="P277" s="4"/>
    </row>
    <row r="278" spans="15:16" hidden="1">
      <c r="O278" s="324"/>
      <c r="P278" s="4"/>
    </row>
    <row r="279" spans="15:16" hidden="1">
      <c r="O279" s="324"/>
      <c r="P279" s="4"/>
    </row>
    <row r="280" spans="15:16" hidden="1">
      <c r="O280" s="324"/>
      <c r="P280" s="4"/>
    </row>
    <row r="281" spans="15:16" hidden="1">
      <c r="O281" s="324"/>
      <c r="P281" s="4"/>
    </row>
    <row r="282" spans="15:16" hidden="1">
      <c r="O282" s="324"/>
      <c r="P282" s="4"/>
    </row>
    <row r="283" spans="15:16" hidden="1">
      <c r="O283" s="324"/>
      <c r="P283" s="4"/>
    </row>
    <row r="284" spans="15:16" hidden="1">
      <c r="O284" s="324"/>
      <c r="P284" s="4"/>
    </row>
    <row r="285" spans="15:16" hidden="1">
      <c r="O285" s="324"/>
      <c r="P285" s="4"/>
    </row>
    <row r="286" spans="15:16" hidden="1">
      <c r="O286" s="324"/>
      <c r="P286" s="4"/>
    </row>
    <row r="287" spans="15:16" hidden="1">
      <c r="O287" s="324"/>
      <c r="P287" s="4"/>
    </row>
    <row r="288" spans="15:16" hidden="1">
      <c r="O288" s="324"/>
      <c r="P288" s="4"/>
    </row>
    <row r="289" spans="15:16" hidden="1">
      <c r="O289" s="324"/>
      <c r="P289" s="4"/>
    </row>
    <row r="290" spans="15:16" hidden="1">
      <c r="O290" s="324"/>
      <c r="P290" s="4"/>
    </row>
    <row r="291" spans="15:16" hidden="1">
      <c r="O291" s="324"/>
      <c r="P291" s="4"/>
    </row>
    <row r="292" spans="15:16" hidden="1">
      <c r="O292" s="324"/>
      <c r="P292" s="4"/>
    </row>
    <row r="293" spans="15:16" hidden="1">
      <c r="O293" s="324"/>
      <c r="P293" s="4"/>
    </row>
    <row r="294" spans="15:16" hidden="1">
      <c r="O294" s="324"/>
      <c r="P294" s="4"/>
    </row>
    <row r="295" spans="15:16" hidden="1">
      <c r="O295" s="324"/>
      <c r="P295" s="4"/>
    </row>
    <row r="296" spans="15:16" hidden="1">
      <c r="O296" s="324"/>
      <c r="P296" s="4"/>
    </row>
    <row r="297" spans="15:16" hidden="1">
      <c r="O297" s="324"/>
      <c r="P297" s="4"/>
    </row>
    <row r="298" spans="15:16" hidden="1">
      <c r="O298" s="324"/>
      <c r="P298" s="4"/>
    </row>
    <row r="299" spans="15:16" hidden="1">
      <c r="O299" s="324"/>
      <c r="P299" s="4"/>
    </row>
    <row r="300" spans="15:16" hidden="1">
      <c r="O300" s="324"/>
      <c r="P300" s="4"/>
    </row>
    <row r="301" spans="15:16" hidden="1">
      <c r="O301" s="324"/>
      <c r="P301" s="4"/>
    </row>
    <row r="302" spans="15:16" hidden="1">
      <c r="O302" s="324"/>
      <c r="P302" s="4"/>
    </row>
    <row r="303" spans="15:16" hidden="1">
      <c r="O303" s="324"/>
      <c r="P303" s="4"/>
    </row>
    <row r="304" spans="15:16" hidden="1">
      <c r="O304" s="324"/>
      <c r="P304" s="4"/>
    </row>
    <row r="305" spans="15:16" hidden="1">
      <c r="O305" s="324"/>
      <c r="P305" s="4"/>
    </row>
    <row r="306" spans="15:16" hidden="1">
      <c r="O306" s="324"/>
      <c r="P306" s="4"/>
    </row>
    <row r="307" spans="15:16" hidden="1">
      <c r="O307" s="324"/>
      <c r="P307" s="4"/>
    </row>
    <row r="308" spans="15:16" hidden="1">
      <c r="O308" s="324"/>
      <c r="P308" s="4"/>
    </row>
    <row r="309" spans="15:16" hidden="1">
      <c r="O309" s="324"/>
      <c r="P309" s="4"/>
    </row>
    <row r="310" spans="15:16" hidden="1">
      <c r="O310" s="324"/>
      <c r="P310" s="4"/>
    </row>
    <row r="311" spans="15:16" hidden="1">
      <c r="O311" s="324"/>
      <c r="P311" s="4"/>
    </row>
    <row r="312" spans="15:16" hidden="1">
      <c r="O312" s="324"/>
      <c r="P312" s="4"/>
    </row>
    <row r="313" spans="15:16" hidden="1">
      <c r="O313" s="324"/>
      <c r="P313" s="4"/>
    </row>
    <row r="314" spans="15:16" hidden="1">
      <c r="O314" s="324"/>
      <c r="P314" s="4"/>
    </row>
    <row r="315" spans="15:16" hidden="1">
      <c r="O315" s="324"/>
      <c r="P315" s="4"/>
    </row>
    <row r="316" spans="15:16" hidden="1">
      <c r="O316" s="324"/>
      <c r="P316" s="4"/>
    </row>
    <row r="317" spans="15:16" hidden="1">
      <c r="O317" s="324"/>
      <c r="P317" s="4"/>
    </row>
    <row r="318" spans="15:16" hidden="1">
      <c r="O318" s="324"/>
      <c r="P318" s="4"/>
    </row>
    <row r="319" spans="15:16" hidden="1">
      <c r="O319" s="324"/>
      <c r="P319" s="4"/>
    </row>
    <row r="320" spans="15:16" hidden="1">
      <c r="O320" s="324"/>
      <c r="P320" s="4"/>
    </row>
    <row r="321" spans="15:16" hidden="1">
      <c r="O321" s="324"/>
      <c r="P321" s="4"/>
    </row>
    <row r="322" spans="15:16" hidden="1">
      <c r="O322" s="324"/>
      <c r="P322" s="4"/>
    </row>
    <row r="323" spans="15:16" hidden="1">
      <c r="O323" s="324"/>
      <c r="P323" s="4"/>
    </row>
    <row r="324" spans="15:16" hidden="1">
      <c r="O324" s="324"/>
      <c r="P324" s="4"/>
    </row>
    <row r="325" spans="15:16" hidden="1">
      <c r="O325" s="324"/>
      <c r="P325" s="4"/>
    </row>
    <row r="326" spans="15:16" hidden="1">
      <c r="O326" s="324"/>
      <c r="P326" s="4"/>
    </row>
    <row r="327" spans="15:16" hidden="1">
      <c r="O327" s="324"/>
      <c r="P327" s="4"/>
    </row>
    <row r="328" spans="15:16" hidden="1">
      <c r="O328" s="324"/>
      <c r="P328" s="4"/>
    </row>
    <row r="329" spans="15:16" hidden="1">
      <c r="O329" s="324"/>
      <c r="P329" s="4"/>
    </row>
    <row r="330" spans="15:16" hidden="1">
      <c r="O330" s="324"/>
      <c r="P330" s="4"/>
    </row>
    <row r="331" spans="15:16" hidden="1">
      <c r="O331" s="324"/>
      <c r="P331" s="4"/>
    </row>
    <row r="332" spans="15:16" hidden="1">
      <c r="O332" s="324"/>
      <c r="P332" s="4"/>
    </row>
    <row r="333" spans="15:16" hidden="1">
      <c r="O333" s="324"/>
      <c r="P333" s="4"/>
    </row>
    <row r="334" spans="15:16" hidden="1">
      <c r="O334" s="324"/>
      <c r="P334" s="4"/>
    </row>
    <row r="335" spans="15:16" hidden="1">
      <c r="O335" s="324"/>
      <c r="P335" s="4"/>
    </row>
    <row r="336" spans="15:16" hidden="1">
      <c r="O336" s="324"/>
      <c r="P336" s="4"/>
    </row>
    <row r="337" spans="15:16" hidden="1">
      <c r="O337" s="324"/>
      <c r="P337" s="4"/>
    </row>
    <row r="338" spans="15:16" hidden="1">
      <c r="O338" s="324"/>
      <c r="P338" s="4"/>
    </row>
    <row r="339" spans="15:16" hidden="1">
      <c r="O339" s="324"/>
      <c r="P339" s="4"/>
    </row>
    <row r="340" spans="15:16" hidden="1">
      <c r="O340" s="324"/>
      <c r="P340" s="4"/>
    </row>
    <row r="341" spans="15:16" hidden="1">
      <c r="O341" s="324"/>
      <c r="P341" s="4"/>
    </row>
    <row r="342" spans="15:16" hidden="1">
      <c r="O342" s="324"/>
      <c r="P342" s="4"/>
    </row>
    <row r="343" spans="15:16" hidden="1">
      <c r="O343" s="324"/>
      <c r="P343" s="4"/>
    </row>
    <row r="344" spans="15:16" hidden="1">
      <c r="O344" s="324"/>
      <c r="P344" s="4"/>
    </row>
    <row r="345" spans="15:16" hidden="1">
      <c r="O345" s="324"/>
      <c r="P345" s="4"/>
    </row>
    <row r="346" spans="15:16" hidden="1">
      <c r="O346" s="324"/>
      <c r="P346" s="4"/>
    </row>
    <row r="347" spans="15:16" hidden="1">
      <c r="O347" s="324"/>
      <c r="P347" s="4"/>
    </row>
    <row r="348" spans="15:16" hidden="1">
      <c r="O348" s="324"/>
      <c r="P348" s="4"/>
    </row>
    <row r="349" spans="15:16" hidden="1">
      <c r="O349" s="324"/>
      <c r="P349" s="4"/>
    </row>
    <row r="350" spans="15:16" hidden="1">
      <c r="O350" s="324"/>
      <c r="P350" s="4"/>
    </row>
    <row r="351" spans="15:16" hidden="1">
      <c r="O351" s="324"/>
      <c r="P351" s="4"/>
    </row>
    <row r="352" spans="15:16" hidden="1">
      <c r="O352" s="324"/>
      <c r="P352" s="4"/>
    </row>
    <row r="353" spans="15:16" hidden="1">
      <c r="O353" s="324"/>
      <c r="P353" s="4"/>
    </row>
    <row r="354" spans="15:16" hidden="1">
      <c r="O354" s="324"/>
      <c r="P354" s="4"/>
    </row>
    <row r="355" spans="15:16" hidden="1">
      <c r="O355" s="324"/>
      <c r="P355" s="4"/>
    </row>
    <row r="356" spans="15:16" hidden="1">
      <c r="O356" s="324"/>
      <c r="P356" s="4"/>
    </row>
    <row r="357" spans="15:16" hidden="1">
      <c r="O357" s="324"/>
      <c r="P357" s="4"/>
    </row>
    <row r="358" spans="15:16" hidden="1">
      <c r="O358" s="324"/>
      <c r="P358" s="4"/>
    </row>
    <row r="359" spans="15:16" hidden="1">
      <c r="O359" s="324"/>
      <c r="P359" s="4"/>
    </row>
    <row r="360" spans="15:16" hidden="1">
      <c r="O360" s="324"/>
      <c r="P360" s="4"/>
    </row>
    <row r="361" spans="15:16" hidden="1">
      <c r="O361" s="324"/>
      <c r="P361" s="4"/>
    </row>
    <row r="362" spans="15:16" hidden="1">
      <c r="O362" s="324"/>
      <c r="P362" s="4"/>
    </row>
    <row r="363" spans="15:16" hidden="1">
      <c r="O363" s="324"/>
      <c r="P363" s="4"/>
    </row>
    <row r="364" spans="15:16" hidden="1">
      <c r="O364" s="324"/>
      <c r="P364" s="4"/>
    </row>
    <row r="365" spans="15:16" hidden="1">
      <c r="O365" s="324"/>
      <c r="P365" s="4"/>
    </row>
    <row r="366" spans="15:16" hidden="1">
      <c r="O366" s="324"/>
      <c r="P366" s="4"/>
    </row>
    <row r="367" spans="15:16" hidden="1">
      <c r="O367" s="324"/>
      <c r="P367" s="4"/>
    </row>
    <row r="368" spans="15:16" hidden="1">
      <c r="O368" s="324"/>
      <c r="P368" s="4"/>
    </row>
    <row r="369" spans="15:16" hidden="1">
      <c r="O369" s="324"/>
      <c r="P369" s="4"/>
    </row>
    <row r="370" spans="15:16" hidden="1">
      <c r="O370" s="324"/>
      <c r="P370" s="4"/>
    </row>
    <row r="371" spans="15:16" hidden="1">
      <c r="O371" s="324"/>
      <c r="P371" s="4"/>
    </row>
    <row r="372" spans="15:16" hidden="1">
      <c r="O372" s="324"/>
      <c r="P372" s="4"/>
    </row>
    <row r="373" spans="15:16" hidden="1">
      <c r="O373" s="324"/>
      <c r="P373" s="4"/>
    </row>
    <row r="374" spans="15:16" hidden="1">
      <c r="O374" s="324"/>
      <c r="P374" s="4"/>
    </row>
    <row r="375" spans="15:16" hidden="1">
      <c r="O375" s="324"/>
      <c r="P375" s="4"/>
    </row>
    <row r="376" spans="15:16" hidden="1">
      <c r="O376" s="324"/>
      <c r="P376" s="4"/>
    </row>
    <row r="377" spans="15:16" hidden="1">
      <c r="O377" s="324"/>
      <c r="P377" s="4"/>
    </row>
    <row r="378" spans="15:16" hidden="1">
      <c r="O378" s="324"/>
      <c r="P378" s="4"/>
    </row>
    <row r="379" spans="15:16" hidden="1">
      <c r="O379" s="324"/>
      <c r="P379" s="4"/>
    </row>
    <row r="380" spans="15:16" hidden="1">
      <c r="O380" s="324"/>
      <c r="P380" s="4"/>
    </row>
    <row r="381" spans="15:16" hidden="1">
      <c r="O381" s="324"/>
      <c r="P381" s="4"/>
    </row>
    <row r="382" spans="15:16" hidden="1">
      <c r="O382" s="324"/>
      <c r="P382" s="4"/>
    </row>
    <row r="383" spans="15:16" hidden="1">
      <c r="O383" s="324"/>
      <c r="P383" s="4"/>
    </row>
    <row r="384" spans="15:16" hidden="1">
      <c r="O384" s="324"/>
      <c r="P384" s="4"/>
    </row>
    <row r="385" spans="15:16" hidden="1">
      <c r="O385" s="324"/>
      <c r="P385" s="4"/>
    </row>
    <row r="386" spans="15:16" hidden="1">
      <c r="O386" s="324"/>
      <c r="P386" s="4"/>
    </row>
    <row r="387" spans="15:16" hidden="1">
      <c r="O387" s="324"/>
      <c r="P387" s="4"/>
    </row>
    <row r="388" spans="15:16" hidden="1">
      <c r="O388" s="324"/>
      <c r="P388" s="4"/>
    </row>
    <row r="389" spans="15:16" hidden="1">
      <c r="O389" s="324"/>
      <c r="P389" s="4"/>
    </row>
    <row r="390" spans="15:16" hidden="1">
      <c r="O390" s="324"/>
      <c r="P390" s="4"/>
    </row>
    <row r="391" spans="15:16" hidden="1">
      <c r="O391" s="324"/>
      <c r="P391" s="4"/>
    </row>
    <row r="392" spans="15:16" hidden="1">
      <c r="O392" s="324"/>
      <c r="P392" s="4"/>
    </row>
    <row r="393" spans="15:16" hidden="1">
      <c r="O393" s="324"/>
      <c r="P393" s="4"/>
    </row>
    <row r="394" spans="15:16" hidden="1">
      <c r="O394" s="324"/>
      <c r="P394" s="4"/>
    </row>
    <row r="395" spans="15:16" hidden="1">
      <c r="O395" s="324"/>
      <c r="P395" s="4"/>
    </row>
    <row r="396" spans="15:16" hidden="1">
      <c r="O396" s="324"/>
      <c r="P396" s="4"/>
    </row>
    <row r="397" spans="15:16" hidden="1">
      <c r="O397" s="324"/>
      <c r="P397" s="4"/>
    </row>
    <row r="398" spans="15:16" hidden="1">
      <c r="O398" s="324"/>
      <c r="P398" s="4"/>
    </row>
    <row r="399" spans="15:16" hidden="1">
      <c r="O399" s="324"/>
      <c r="P399" s="4"/>
    </row>
    <row r="400" spans="15:16" hidden="1">
      <c r="O400" s="324"/>
      <c r="P400" s="4"/>
    </row>
    <row r="401" spans="15:16" hidden="1">
      <c r="O401" s="324"/>
      <c r="P401" s="4"/>
    </row>
    <row r="402" spans="15:16" hidden="1">
      <c r="O402" s="324"/>
      <c r="P402" s="4"/>
    </row>
    <row r="403" spans="15:16" hidden="1">
      <c r="O403" s="324"/>
      <c r="P403" s="4"/>
    </row>
    <row r="404" spans="15:16" hidden="1">
      <c r="O404" s="324"/>
      <c r="P404" s="4"/>
    </row>
    <row r="405" spans="15:16" hidden="1">
      <c r="O405" s="324"/>
      <c r="P405" s="4"/>
    </row>
    <row r="406" spans="15:16" hidden="1">
      <c r="O406" s="324"/>
      <c r="P406" s="4"/>
    </row>
    <row r="407" spans="15:16" hidden="1">
      <c r="O407" s="324"/>
      <c r="P407" s="4"/>
    </row>
    <row r="408" spans="15:16" hidden="1">
      <c r="O408" s="324"/>
      <c r="P408" s="4"/>
    </row>
    <row r="409" spans="15:16" hidden="1">
      <c r="O409" s="324"/>
      <c r="P409" s="4"/>
    </row>
    <row r="410" spans="15:16" hidden="1">
      <c r="O410" s="324"/>
      <c r="P410" s="4"/>
    </row>
    <row r="411" spans="15:16" hidden="1">
      <c r="O411" s="324"/>
      <c r="P411" s="4"/>
    </row>
    <row r="412" spans="15:16" hidden="1">
      <c r="O412" s="324"/>
      <c r="P412" s="4"/>
    </row>
    <row r="413" spans="15:16" hidden="1">
      <c r="O413" s="324"/>
      <c r="P413" s="4"/>
    </row>
    <row r="414" spans="15:16" hidden="1">
      <c r="O414" s="324"/>
      <c r="P414" s="4"/>
    </row>
    <row r="415" spans="15:16" hidden="1">
      <c r="O415" s="324"/>
      <c r="P415" s="4"/>
    </row>
    <row r="416" spans="15:16" hidden="1">
      <c r="O416" s="324"/>
      <c r="P416" s="4"/>
    </row>
    <row r="417" spans="15:16" hidden="1">
      <c r="O417" s="324"/>
      <c r="P417" s="4"/>
    </row>
    <row r="418" spans="15:16" hidden="1"/>
    <row r="419" spans="15:16" hidden="1"/>
    <row r="420" spans="15:16" hidden="1"/>
    <row r="421" spans="15:16" hidden="1"/>
    <row r="422" spans="15:16" hidden="1"/>
    <row r="423" spans="15:16" hidden="1"/>
    <row r="424" spans="15:16" hidden="1"/>
    <row r="425" spans="15:16" hidden="1"/>
    <row r="426" spans="15:16" hidden="1"/>
    <row r="427" spans="15:16" hidden="1"/>
    <row r="428" spans="15:16" hidden="1"/>
    <row r="429" spans="15:16" hidden="1"/>
    <row r="430" spans="15:16" hidden="1"/>
    <row r="431" spans="15:16" hidden="1"/>
    <row r="432" spans="15:16"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sheetData>
  <sheetProtection password="CC47" sheet="1" objects="1" scenarios="1"/>
  <mergeCells count="46">
    <mergeCell ref="G51:L51"/>
    <mergeCell ref="F54:F55"/>
    <mergeCell ref="F33:F34"/>
    <mergeCell ref="F52:F53"/>
    <mergeCell ref="E47:M47"/>
    <mergeCell ref="D9:D13"/>
    <mergeCell ref="E9:M13"/>
    <mergeCell ref="E90:E91"/>
    <mergeCell ref="E92:E93"/>
    <mergeCell ref="G89:H89"/>
    <mergeCell ref="I92:M92"/>
    <mergeCell ref="G92:H93"/>
    <mergeCell ref="I93:M93"/>
    <mergeCell ref="I89:M89"/>
    <mergeCell ref="I91:M91"/>
    <mergeCell ref="I90:M90"/>
    <mergeCell ref="F90:F91"/>
    <mergeCell ref="H30:M30"/>
    <mergeCell ref="F30:F32"/>
    <mergeCell ref="F92:F93"/>
    <mergeCell ref="I58:M58"/>
    <mergeCell ref="I96:M96"/>
    <mergeCell ref="G90:H91"/>
    <mergeCell ref="I87:M87"/>
    <mergeCell ref="G72:H72"/>
    <mergeCell ref="G73:H73"/>
    <mergeCell ref="I72:M72"/>
    <mergeCell ref="I73:M73"/>
    <mergeCell ref="I75:M75"/>
    <mergeCell ref="E79:M79"/>
    <mergeCell ref="L1:M1"/>
    <mergeCell ref="I38:M38"/>
    <mergeCell ref="E87:E88"/>
    <mergeCell ref="F87:F88"/>
    <mergeCell ref="G87:H88"/>
    <mergeCell ref="I88:M88"/>
    <mergeCell ref="E8:M8"/>
    <mergeCell ref="E63:M63"/>
    <mergeCell ref="E22:M22"/>
    <mergeCell ref="G70:M70"/>
    <mergeCell ref="G55:L55"/>
    <mergeCell ref="G50:L50"/>
    <mergeCell ref="E42:M42"/>
    <mergeCell ref="G52:L52"/>
    <mergeCell ref="G53:L53"/>
    <mergeCell ref="G54:L54"/>
  </mergeCells>
  <phoneticPr fontId="4"/>
  <conditionalFormatting sqref="I58">
    <cfRule type="expression" dxfId="20" priority="4" stopIfTrue="1">
      <formula>M50&gt;0</formula>
    </cfRule>
  </conditionalFormatting>
  <conditionalFormatting sqref="I96 E89:E92">
    <cfRule type="expression" dxfId="19" priority="9" stopIfTrue="1">
      <formula>$M$78&gt;0</formula>
    </cfRule>
  </conditionalFormatting>
  <conditionalFormatting sqref="E71:E73 I75">
    <cfRule type="expression" dxfId="18" priority="10" stopIfTrue="1">
      <formula>$M$62&gt;0</formula>
    </cfRule>
  </conditionalFormatting>
  <conditionalFormatting sqref="E30:E35 I38">
    <cfRule type="expression" dxfId="17" priority="11" stopIfTrue="1">
      <formula>$M$21&gt;0</formula>
    </cfRule>
  </conditionalFormatting>
  <conditionalFormatting sqref="E50:E55">
    <cfRule type="expression" dxfId="16" priority="12" stopIfTrue="1">
      <formula>$M$41&gt;0</formula>
    </cfRule>
  </conditionalFormatting>
  <conditionalFormatting sqref="E87:E88">
    <cfRule type="expression" dxfId="15" priority="1" stopIfTrue="1">
      <formula>$M$78&gt;0</formula>
    </cfRule>
  </conditionalFormatting>
  <dataValidations xWindow="203" yWindow="331" count="4">
    <dataValidation type="list" allowBlank="1" showInputMessage="1" showErrorMessage="1" sqref="E50:E55 E30:E35 E71:E73 E89:E92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formula1>$U$3:$U$4</formula1>
    </dataValidation>
    <dataValidation type="textLength" operator="lessThanOrEqual" allowBlank="1" showInputMessage="1" showErrorMessage="1" sqref="F96:H96 F75:H75 F58:H58 F38:H38">
      <formula1>30</formula1>
    </dataValidation>
    <dataValidation type="textLength" operator="lessThanOrEqual" allowBlank="1" showInputMessage="1" showErrorMessage="1" sqref="I96 I75 I58 I38">
      <formula1>35</formula1>
    </dataValidation>
    <dataValidation allowBlank="1" showInputMessage="1" sqref="F70:F71"/>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58" max="13" man="1"/>
  </rowBreaks>
  <drawing r:id="rId2"/>
</worksheet>
</file>

<file path=xl/worksheets/sheet12.xml><?xml version="1.0" encoding="utf-8"?>
<worksheet xmlns="http://schemas.openxmlformats.org/spreadsheetml/2006/main" xmlns:r="http://schemas.openxmlformats.org/officeDocument/2006/relationships">
  <sheetPr codeName="Sheet14"/>
  <dimension ref="B1:I41"/>
  <sheetViews>
    <sheetView showGridLines="0" zoomScaleNormal="80" workbookViewId="0">
      <selection activeCell="K20" sqref="K20"/>
    </sheetView>
  </sheetViews>
  <sheetFormatPr defaultColWidth="0" defaultRowHeight="13.5" zeroHeight="1"/>
  <cols>
    <col min="1" max="1" width="2" customWidth="1"/>
    <col min="2" max="2" width="10.625" customWidth="1"/>
    <col min="3" max="3" width="11.875" customWidth="1"/>
    <col min="4" max="4" width="8.25" customWidth="1"/>
    <col min="5" max="5" width="22.625" customWidth="1"/>
    <col min="6" max="6" width="9.5" customWidth="1"/>
    <col min="7" max="7" width="22.625" customWidth="1"/>
    <col min="8" max="8" width="9.5" customWidth="1"/>
    <col min="9" max="9" width="16.125" customWidth="1"/>
    <col min="10" max="10" width="1.875" customWidth="1"/>
  </cols>
  <sheetData>
    <row r="1" spans="2:9" ht="6" customHeight="1">
      <c r="B1" s="21"/>
      <c r="C1" s="21"/>
      <c r="D1" s="21"/>
      <c r="E1" s="21"/>
      <c r="F1" s="21"/>
      <c r="G1" s="21"/>
      <c r="H1" s="21"/>
      <c r="I1" s="21"/>
    </row>
    <row r="2" spans="2:9" ht="14.25">
      <c r="B2" s="1356" t="s">
        <v>265</v>
      </c>
      <c r="C2" s="1357"/>
      <c r="D2" s="1357"/>
      <c r="E2" s="1357"/>
      <c r="F2" s="1357"/>
      <c r="G2" s="1047" t="s">
        <v>342</v>
      </c>
      <c r="H2" s="2387">
        <f>メイン!C10</f>
        <v>0</v>
      </c>
      <c r="I2" s="2387"/>
    </row>
    <row r="3" spans="2:9" ht="15.75" customHeight="1">
      <c r="B3" s="21"/>
      <c r="C3" s="21"/>
      <c r="D3" s="21"/>
      <c r="E3" s="21"/>
      <c r="F3" s="21"/>
      <c r="G3" s="21"/>
      <c r="H3" s="21"/>
      <c r="I3" s="1358"/>
    </row>
    <row r="4" spans="2:9">
      <c r="B4" s="2598" t="s">
        <v>467</v>
      </c>
      <c r="C4" s="2599"/>
      <c r="D4" s="2600"/>
      <c r="E4" s="2604" t="s">
        <v>801</v>
      </c>
      <c r="F4" s="2605"/>
      <c r="G4" s="2585" t="s">
        <v>396</v>
      </c>
      <c r="H4" s="2586"/>
      <c r="I4" s="1359" t="s">
        <v>544</v>
      </c>
    </row>
    <row r="5" spans="2:9" ht="14.25" thickBot="1">
      <c r="B5" s="2601"/>
      <c r="C5" s="2602"/>
      <c r="D5" s="2603"/>
      <c r="E5" s="1360" t="s">
        <v>263</v>
      </c>
      <c r="F5" s="1360" t="s">
        <v>264</v>
      </c>
      <c r="G5" s="1360" t="s">
        <v>263</v>
      </c>
      <c r="H5" s="1360" t="s">
        <v>264</v>
      </c>
      <c r="I5" s="1359"/>
    </row>
    <row r="6" spans="2:9" ht="19.5" customHeight="1" thickBot="1">
      <c r="B6" s="1361" t="s">
        <v>262</v>
      </c>
      <c r="C6" s="2587" t="s">
        <v>677</v>
      </c>
      <c r="D6" s="2588"/>
      <c r="E6" s="1362">
        <v>6.04</v>
      </c>
      <c r="F6" s="1363">
        <f>CO2計算!P77</f>
        <v>6.04</v>
      </c>
      <c r="G6" s="1362">
        <v>5.88</v>
      </c>
      <c r="H6" s="1364" t="e">
        <f>CO2計算!M77</f>
        <v>#DIV/0!</v>
      </c>
      <c r="I6" s="1365" t="s">
        <v>802</v>
      </c>
    </row>
    <row r="7" spans="2:9" ht="57" customHeight="1" thickBot="1">
      <c r="B7" s="1361"/>
      <c r="C7" s="2589" t="s">
        <v>267</v>
      </c>
      <c r="D7" s="2590"/>
      <c r="E7" s="2597"/>
      <c r="F7" s="2597"/>
      <c r="G7" s="2597"/>
      <c r="H7" s="2597"/>
      <c r="I7" s="1365"/>
    </row>
    <row r="8" spans="2:9" ht="24.75" thickBot="1">
      <c r="B8" s="1360" t="s">
        <v>408</v>
      </c>
      <c r="C8" s="2589" t="s">
        <v>677</v>
      </c>
      <c r="D8" s="2594"/>
      <c r="E8" s="1362">
        <v>2.35</v>
      </c>
      <c r="F8" s="1366">
        <f>CO2計算!P78</f>
        <v>2.35</v>
      </c>
      <c r="G8" s="1362">
        <v>2</v>
      </c>
      <c r="H8" s="1367" t="e">
        <f>CO2計算!M78</f>
        <v>#DIV/0!</v>
      </c>
      <c r="I8" s="1365" t="s">
        <v>802</v>
      </c>
    </row>
    <row r="9" spans="2:9" ht="57" customHeight="1" thickBot="1">
      <c r="B9" s="1361"/>
      <c r="C9" s="2589" t="s">
        <v>267</v>
      </c>
      <c r="D9" s="2590"/>
      <c r="E9" s="2597"/>
      <c r="F9" s="2597"/>
      <c r="G9" s="2597"/>
      <c r="H9" s="2597"/>
      <c r="I9" s="1365"/>
    </row>
    <row r="10" spans="2:9" ht="36.75" customHeight="1" thickBot="1">
      <c r="B10" s="2591" t="s">
        <v>803</v>
      </c>
      <c r="C10" s="2589" t="s">
        <v>409</v>
      </c>
      <c r="D10" s="2594"/>
      <c r="E10" s="1368">
        <v>40</v>
      </c>
      <c r="F10" s="1366" t="e">
        <f>CO2計算!P52</f>
        <v>#VALUE!</v>
      </c>
      <c r="G10" s="1369">
        <v>30</v>
      </c>
      <c r="H10" s="1364" t="e">
        <f>CO2計算!M52</f>
        <v>#VALUE!</v>
      </c>
      <c r="I10" s="1365" t="s">
        <v>802</v>
      </c>
    </row>
    <row r="11" spans="2:9" ht="36.75" customHeight="1" thickBot="1">
      <c r="B11" s="2592"/>
      <c r="C11" s="2595" t="s">
        <v>410</v>
      </c>
      <c r="D11" s="2596"/>
      <c r="E11" s="1370" t="s">
        <v>411</v>
      </c>
      <c r="F11" s="1371"/>
      <c r="G11" s="1372">
        <v>25</v>
      </c>
      <c r="H11" s="1373" t="e">
        <f>CO2計算!M69</f>
        <v>#VALUE!</v>
      </c>
      <c r="I11" s="1374" t="s">
        <v>802</v>
      </c>
    </row>
    <row r="12" spans="2:9" ht="18.75" customHeight="1">
      <c r="B12" s="2592"/>
      <c r="C12" s="1375"/>
      <c r="D12" s="1376" t="s">
        <v>547</v>
      </c>
      <c r="E12" s="1377" t="s">
        <v>271</v>
      </c>
      <c r="F12" s="1378"/>
      <c r="G12" s="1379">
        <v>5</v>
      </c>
      <c r="H12" s="1380" t="e">
        <f>H10-H11</f>
        <v>#VALUE!</v>
      </c>
      <c r="I12" s="1381" t="s">
        <v>802</v>
      </c>
    </row>
    <row r="13" spans="2:9" ht="18.75" customHeight="1">
      <c r="B13" s="2592"/>
      <c r="C13" s="1382"/>
      <c r="D13" s="1383"/>
      <c r="E13" s="1384"/>
      <c r="F13" s="1385"/>
      <c r="G13" s="1386"/>
      <c r="H13" s="1380">
        <v>0</v>
      </c>
      <c r="I13" s="1381" t="s">
        <v>802</v>
      </c>
    </row>
    <row r="14" spans="2:9" ht="18.75" customHeight="1" thickBot="1">
      <c r="B14" s="2592"/>
      <c r="C14" s="1382"/>
      <c r="D14" s="1387"/>
      <c r="E14" s="1388"/>
      <c r="F14" s="1389"/>
      <c r="G14" s="1390"/>
      <c r="H14" s="1391">
        <v>0</v>
      </c>
      <c r="I14" s="1392" t="s">
        <v>802</v>
      </c>
    </row>
    <row r="15" spans="2:9" ht="24.75" customHeight="1" thickBot="1">
      <c r="B15" s="2592"/>
      <c r="C15" s="2595" t="s">
        <v>412</v>
      </c>
      <c r="D15" s="2596"/>
      <c r="E15" s="1370" t="s">
        <v>411</v>
      </c>
      <c r="F15" s="1371"/>
      <c r="G15" s="1372">
        <v>25</v>
      </c>
      <c r="H15" s="1393" t="e">
        <f>H11-SUM(H16:H19)</f>
        <v>#VALUE!</v>
      </c>
      <c r="I15" s="1374" t="s">
        <v>802</v>
      </c>
    </row>
    <row r="16" spans="2:9" ht="25.5" customHeight="1">
      <c r="B16" s="2592"/>
      <c r="C16" s="1394"/>
      <c r="D16" s="1376" t="s">
        <v>547</v>
      </c>
      <c r="E16" s="1395" t="s">
        <v>272</v>
      </c>
      <c r="F16" s="1396"/>
      <c r="G16" s="1397"/>
      <c r="H16" s="1398" t="s">
        <v>786</v>
      </c>
      <c r="I16" s="1381" t="s">
        <v>802</v>
      </c>
    </row>
    <row r="17" spans="2:9" ht="25.5" customHeight="1">
      <c r="B17" s="2592"/>
      <c r="C17" s="1399"/>
      <c r="D17" s="1400"/>
      <c r="E17" s="1401">
        <v>6.04</v>
      </c>
      <c r="F17" s="1401"/>
      <c r="G17" s="1402"/>
      <c r="H17" s="1398" t="s">
        <v>413</v>
      </c>
      <c r="I17" s="1403" t="s">
        <v>802</v>
      </c>
    </row>
    <row r="18" spans="2:9" ht="25.5" customHeight="1">
      <c r="B18" s="2592"/>
      <c r="C18" s="1399"/>
      <c r="D18" s="1400"/>
      <c r="E18" s="1401" t="s">
        <v>414</v>
      </c>
      <c r="F18" s="1401"/>
      <c r="G18" s="1402"/>
      <c r="H18" s="1398" t="s">
        <v>413</v>
      </c>
      <c r="I18" s="1403" t="s">
        <v>802</v>
      </c>
    </row>
    <row r="19" spans="2:9" ht="39" customHeight="1">
      <c r="B19" s="2592"/>
      <c r="C19" s="1404"/>
      <c r="D19" s="1405"/>
      <c r="E19" s="1406" t="s">
        <v>415</v>
      </c>
      <c r="F19" s="1406"/>
      <c r="G19" s="1407">
        <v>1</v>
      </c>
      <c r="H19" s="1408" t="e">
        <f>H35</f>
        <v>#VALUE!</v>
      </c>
      <c r="I19" s="1409" t="s">
        <v>802</v>
      </c>
    </row>
    <row r="20" spans="2:9" ht="67.5" customHeight="1">
      <c r="B20" s="2593"/>
      <c r="C20" s="2589" t="s">
        <v>267</v>
      </c>
      <c r="D20" s="2590"/>
      <c r="E20" s="2597"/>
      <c r="F20" s="2597"/>
      <c r="G20" s="2597"/>
      <c r="H20" s="2597"/>
      <c r="I20" s="1359"/>
    </row>
    <row r="21" spans="2:9">
      <c r="B21" s="21"/>
      <c r="C21" s="21"/>
      <c r="D21" s="21"/>
      <c r="E21" s="21"/>
      <c r="F21" s="21"/>
      <c r="G21" s="21"/>
      <c r="H21" s="21"/>
      <c r="I21" s="21"/>
    </row>
    <row r="22" spans="2:9" ht="23.25" customHeight="1" thickBot="1">
      <c r="B22" s="1410" t="s">
        <v>270</v>
      </c>
      <c r="C22" s="21"/>
      <c r="D22" s="21"/>
      <c r="E22" s="21"/>
      <c r="F22" s="21"/>
      <c r="G22" s="21"/>
      <c r="H22" s="21"/>
      <c r="I22" s="21"/>
    </row>
    <row r="23" spans="2:9" ht="17.25" customHeight="1" thickBot="1">
      <c r="B23" s="1411"/>
      <c r="C23" s="1316" t="s">
        <v>1229</v>
      </c>
      <c r="D23" s="21"/>
      <c r="E23" s="21"/>
      <c r="F23" s="21"/>
      <c r="G23" s="21"/>
      <c r="H23" s="21"/>
      <c r="I23" s="21"/>
    </row>
    <row r="24" spans="2:9" ht="17.25" customHeight="1">
      <c r="B24" s="1316" t="s">
        <v>1230</v>
      </c>
      <c r="C24" s="21"/>
      <c r="D24" s="21"/>
      <c r="E24" s="21"/>
      <c r="F24" s="21"/>
      <c r="G24" s="21"/>
      <c r="H24" s="21"/>
      <c r="I24" s="21"/>
    </row>
    <row r="25" spans="2:9" ht="17.25" customHeight="1">
      <c r="B25" s="1316" t="s">
        <v>1231</v>
      </c>
      <c r="C25" s="21"/>
      <c r="D25" s="21"/>
      <c r="E25" s="21"/>
      <c r="F25" s="21"/>
      <c r="G25" s="21"/>
      <c r="H25" s="21"/>
      <c r="I25" s="21"/>
    </row>
    <row r="26" spans="2:9">
      <c r="B26" s="21"/>
      <c r="C26" s="21"/>
      <c r="D26" s="21"/>
      <c r="E26" s="21"/>
      <c r="F26" s="21"/>
      <c r="G26" s="21"/>
      <c r="H26" s="21"/>
      <c r="I26" s="21"/>
    </row>
    <row r="27" spans="2:9">
      <c r="B27" s="1316"/>
      <c r="C27" s="1316" t="s">
        <v>416</v>
      </c>
      <c r="D27" s="1316"/>
      <c r="E27" s="1316"/>
      <c r="F27" s="1316"/>
      <c r="G27" s="1316"/>
      <c r="H27" s="1316"/>
      <c r="I27" s="1316"/>
    </row>
    <row r="28" spans="2:9" ht="25.5">
      <c r="B28" s="1412"/>
      <c r="C28" s="2608" t="s">
        <v>804</v>
      </c>
      <c r="D28" s="2609"/>
      <c r="E28" s="1413" t="e">
        <f>電気排出係数!D5*1000</f>
        <v>#VALUE!</v>
      </c>
      <c r="F28" s="1414" t="s">
        <v>417</v>
      </c>
      <c r="G28" s="1316"/>
      <c r="H28" s="1316"/>
      <c r="I28" s="1316"/>
    </row>
    <row r="29" spans="2:9" ht="25.5">
      <c r="B29" s="1412"/>
      <c r="C29" s="2610" t="s">
        <v>800</v>
      </c>
      <c r="D29" s="2611"/>
      <c r="E29" s="1415" t="e">
        <f>電気排出係数!E5*1000</f>
        <v>#N/A</v>
      </c>
      <c r="F29" s="1392" t="s">
        <v>418</v>
      </c>
      <c r="G29" s="1316"/>
      <c r="H29" s="1316"/>
      <c r="I29" s="1316"/>
    </row>
    <row r="30" spans="2:9">
      <c r="B30" s="1412"/>
      <c r="C30" s="1316"/>
      <c r="D30" s="1316"/>
      <c r="E30" s="1316"/>
      <c r="F30" s="1316"/>
      <c r="G30" s="1316"/>
      <c r="H30" s="1316"/>
      <c r="I30" s="1316"/>
    </row>
    <row r="31" spans="2:9">
      <c r="B31" s="1412"/>
      <c r="C31" s="1316" t="s">
        <v>953</v>
      </c>
      <c r="D31" s="1316"/>
      <c r="E31" s="1316"/>
      <c r="F31" s="1316"/>
      <c r="G31" s="1316"/>
      <c r="H31" s="1316"/>
      <c r="I31" s="1316"/>
    </row>
    <row r="32" spans="2:9" ht="13.5" customHeight="1">
      <c r="B32" s="1412"/>
      <c r="C32" s="2612" t="s">
        <v>273</v>
      </c>
      <c r="D32" s="2613"/>
      <c r="E32" s="2613"/>
      <c r="F32" s="2614"/>
      <c r="G32" s="1757" t="s">
        <v>955</v>
      </c>
      <c r="H32" s="1416" t="e">
        <f>H11</f>
        <v>#VALUE!</v>
      </c>
      <c r="I32" s="1365" t="s">
        <v>802</v>
      </c>
    </row>
    <row r="33" spans="2:9" s="1684" customFormat="1">
      <c r="B33" s="1412"/>
      <c r="C33" s="1758"/>
      <c r="D33" s="1759"/>
      <c r="E33" s="1759"/>
      <c r="F33" s="1405"/>
      <c r="G33" s="1757" t="s">
        <v>954</v>
      </c>
      <c r="H33" s="1416" t="e">
        <f>H32*CO2データ!J124</f>
        <v>#VALUE!</v>
      </c>
      <c r="I33" s="1365" t="s">
        <v>802</v>
      </c>
    </row>
    <row r="34" spans="2:9" ht="13.5" customHeight="1">
      <c r="B34" s="1412"/>
      <c r="C34" s="2593" t="s">
        <v>274</v>
      </c>
      <c r="D34" s="2593"/>
      <c r="E34" s="2593"/>
      <c r="F34" s="2593"/>
      <c r="G34" s="1417" t="e">
        <f>ROUND(H33,2)&amp;" / "&amp;$E$28&amp;" * "&amp;$E$29&amp;" =　（B)"</f>
        <v>#VALUE!</v>
      </c>
      <c r="H34" s="1416" t="e">
        <f>H33/$E$28*$E$29</f>
        <v>#VALUE!</v>
      </c>
      <c r="I34" s="1365" t="s">
        <v>802</v>
      </c>
    </row>
    <row r="35" spans="2:9" ht="13.5" customHeight="1">
      <c r="B35" s="1412"/>
      <c r="C35" s="2615" t="s">
        <v>268</v>
      </c>
      <c r="D35" s="2615"/>
      <c r="E35" s="2615"/>
      <c r="F35" s="2615"/>
      <c r="G35" s="1417" t="s">
        <v>920</v>
      </c>
      <c r="H35" s="1416" t="e">
        <f>H33-H34</f>
        <v>#VALUE!</v>
      </c>
      <c r="I35" s="1365" t="s">
        <v>802</v>
      </c>
    </row>
    <row r="36" spans="2:9">
      <c r="B36" s="1412"/>
      <c r="C36" s="1316"/>
      <c r="D36" s="1316"/>
      <c r="E36" s="1316"/>
      <c r="F36" s="1316"/>
      <c r="G36" s="1316"/>
      <c r="H36" s="1316"/>
      <c r="I36" s="1316"/>
    </row>
    <row r="37" spans="2:9" hidden="1">
      <c r="B37" s="1412"/>
      <c r="C37" s="1752" t="s">
        <v>276</v>
      </c>
      <c r="D37" s="1752"/>
      <c r="E37" s="1752"/>
      <c r="F37" s="1752"/>
      <c r="G37" s="1752"/>
      <c r="H37" s="1752"/>
      <c r="I37" s="1752"/>
    </row>
    <row r="38" spans="2:9" hidden="1">
      <c r="B38" s="1412"/>
      <c r="C38" s="2606" t="s">
        <v>273</v>
      </c>
      <c r="D38" s="2606"/>
      <c r="E38" s="2606"/>
      <c r="F38" s="2606"/>
      <c r="G38" s="1753" t="s">
        <v>275</v>
      </c>
      <c r="H38" s="1754">
        <f>G11</f>
        <v>25</v>
      </c>
      <c r="I38" s="1755" t="s">
        <v>802</v>
      </c>
    </row>
    <row r="39" spans="2:9" hidden="1">
      <c r="B39" s="1412"/>
      <c r="C39" s="2606" t="s">
        <v>274</v>
      </c>
      <c r="D39" s="2606"/>
      <c r="E39" s="2606"/>
      <c r="F39" s="2606"/>
      <c r="G39" s="1756" t="e">
        <f>ROUND(H38,2)&amp;" / "&amp;$E$28&amp;" * "&amp;$E$29&amp;" =　（D)"</f>
        <v>#VALUE!</v>
      </c>
      <c r="H39" s="1754" t="e">
        <f>G11/$E$28*$E$29</f>
        <v>#VALUE!</v>
      </c>
      <c r="I39" s="1755" t="s">
        <v>802</v>
      </c>
    </row>
    <row r="40" spans="2:9" hidden="1">
      <c r="B40" s="1412"/>
      <c r="C40" s="2607" t="s">
        <v>268</v>
      </c>
      <c r="D40" s="2607"/>
      <c r="E40" s="2607"/>
      <c r="F40" s="2607"/>
      <c r="G40" s="1756" t="s">
        <v>419</v>
      </c>
      <c r="H40" s="1754" t="e">
        <f>H38-H39</f>
        <v>#VALUE!</v>
      </c>
      <c r="I40" s="1755" t="s">
        <v>802</v>
      </c>
    </row>
    <row r="41" spans="2:9" hidden="1"/>
  </sheetData>
  <sheetProtection password="CC47" sheet="1" objects="1" scenarios="1"/>
  <mergeCells count="27">
    <mergeCell ref="E9:F9"/>
    <mergeCell ref="C38:F38"/>
    <mergeCell ref="C39:F39"/>
    <mergeCell ref="C40:F40"/>
    <mergeCell ref="G20:H20"/>
    <mergeCell ref="C28:D28"/>
    <mergeCell ref="C29:D29"/>
    <mergeCell ref="C32:F32"/>
    <mergeCell ref="C34:F34"/>
    <mergeCell ref="C35:F35"/>
    <mergeCell ref="E20:F20"/>
    <mergeCell ref="H2:I2"/>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13.xml><?xml version="1.0" encoding="utf-8"?>
<worksheet xmlns="http://schemas.openxmlformats.org/spreadsheetml/2006/main" xmlns:r="http://schemas.openxmlformats.org/officeDocument/2006/relationships">
  <sheetPr codeName="Sheet5">
    <pageSetUpPr fitToPage="1"/>
  </sheetPr>
  <dimension ref="A1:XFC135"/>
  <sheetViews>
    <sheetView showGridLines="0" topLeftCell="A3" zoomScaleNormal="75" zoomScaleSheetLayoutView="100" workbookViewId="0">
      <selection activeCell="P55" sqref="P55"/>
    </sheetView>
  </sheetViews>
  <sheetFormatPr defaultColWidth="0" defaultRowHeight="18" customHeight="1" zeroHeight="1"/>
  <cols>
    <col min="1" max="1" width="2.25" style="965" customWidth="1"/>
    <col min="2" max="2" width="3.625" style="985" customWidth="1"/>
    <col min="3" max="3" width="5.75" style="971" customWidth="1"/>
    <col min="4" max="4" width="4.625" style="970" customWidth="1"/>
    <col min="5" max="5" width="17.375" style="971" customWidth="1"/>
    <col min="6" max="6" width="9.75" style="971" customWidth="1"/>
    <col min="7" max="7" width="9.75" style="967" customWidth="1"/>
    <col min="8" max="8" width="0.5" style="967" customWidth="1"/>
    <col min="9" max="11" width="9.75" style="967" customWidth="1"/>
    <col min="12" max="12" width="9.75" style="966" customWidth="1"/>
    <col min="13" max="13" width="9.75" style="965" customWidth="1"/>
    <col min="14" max="14" width="3.125" style="965" customWidth="1"/>
    <col min="15" max="15" width="11.75" style="965" customWidth="1"/>
    <col min="16" max="16" width="9.5" style="965" customWidth="1"/>
    <col min="17" max="17" width="2" style="965" customWidth="1"/>
    <col min="18" max="18" width="4.625" style="965" hidden="1"/>
    <col min="19" max="19" width="10.25" style="965" hidden="1"/>
    <col min="20" max="255" width="9" style="965" hidden="1"/>
    <col min="256" max="16383" width="1.875" style="965" hidden="1"/>
    <col min="16384" max="16384" width="3.75" style="965" hidden="1"/>
  </cols>
  <sheetData>
    <row r="1" spans="1:28" s="454" customFormat="1" ht="12.6" customHeight="1" thickBot="1">
      <c r="A1" s="1116"/>
      <c r="B1" s="1116"/>
      <c r="C1" s="1116"/>
      <c r="D1" s="1117"/>
      <c r="E1" s="4"/>
      <c r="F1" s="1116"/>
      <c r="G1" s="1116"/>
      <c r="H1" s="1116"/>
      <c r="I1" s="1118"/>
      <c r="J1" s="1118"/>
      <c r="K1" s="1118"/>
      <c r="L1" s="1118"/>
      <c r="M1" s="1118"/>
      <c r="N1" s="1118"/>
      <c r="O1" s="1119"/>
      <c r="P1" s="1120"/>
      <c r="R1" s="504"/>
      <c r="S1" s="504"/>
      <c r="T1" s="697"/>
      <c r="U1" s="504"/>
      <c r="V1" s="697"/>
      <c r="W1" s="504"/>
      <c r="X1" s="504"/>
      <c r="Y1" s="504"/>
      <c r="Z1" s="453"/>
      <c r="AA1" s="453"/>
      <c r="AB1" s="453"/>
    </row>
    <row r="2" spans="1:28" s="454" customFormat="1" ht="17.25">
      <c r="A2" s="1116"/>
      <c r="B2" s="1121" t="str">
        <f>メイン!C6</f>
        <v>CASBEE京都 戸建-新築(2015年版)</v>
      </c>
      <c r="C2" s="1122"/>
      <c r="D2" s="1123"/>
      <c r="E2" s="1124"/>
      <c r="F2" s="1125"/>
      <c r="G2" s="1116"/>
      <c r="H2" s="1116"/>
      <c r="I2" s="1118"/>
      <c r="J2" s="1118"/>
      <c r="K2" s="1118"/>
      <c r="L2" s="2623" t="s">
        <v>90</v>
      </c>
      <c r="M2" s="2623"/>
      <c r="N2" s="1126" t="str">
        <f>メイン!C6</f>
        <v>CASBEE京都 戸建-新築(2015年版)</v>
      </c>
      <c r="O2" s="1127"/>
      <c r="P2" s="1120"/>
      <c r="R2" s="504"/>
      <c r="S2" s="504"/>
      <c r="T2" s="697"/>
      <c r="U2" s="504"/>
      <c r="V2" s="697"/>
      <c r="W2" s="504"/>
      <c r="X2" s="504"/>
      <c r="Y2" s="504"/>
      <c r="Z2" s="453"/>
      <c r="AA2" s="453"/>
      <c r="AB2" s="453"/>
    </row>
    <row r="3" spans="1:28" s="454" customFormat="1" ht="15.75" customHeight="1" thickBot="1">
      <c r="A3" s="1116"/>
      <c r="B3" s="2620">
        <f>メイン!$C$10</f>
        <v>0</v>
      </c>
      <c r="C3" s="2621"/>
      <c r="D3" s="2621"/>
      <c r="E3" s="2621"/>
      <c r="F3" s="2622"/>
      <c r="G3" s="1116"/>
      <c r="H3" s="1116"/>
      <c r="I3" s="1118"/>
      <c r="J3" s="1118"/>
      <c r="K3" s="1118"/>
      <c r="L3" s="2624" t="s">
        <v>40</v>
      </c>
      <c r="M3" s="2624"/>
      <c r="N3" s="1128" t="str">
        <f>メイン!C5</f>
        <v>CASBEE京都 戸建-新築2015(v.1.0)</v>
      </c>
      <c r="O3" s="1129"/>
      <c r="P3" s="1120"/>
      <c r="R3" s="504"/>
      <c r="S3" s="504"/>
      <c r="T3" s="697"/>
      <c r="U3" s="504"/>
      <c r="V3" s="697"/>
      <c r="W3" s="504"/>
      <c r="X3" s="504"/>
      <c r="Y3" s="504"/>
      <c r="Z3" s="453"/>
      <c r="AA3" s="453"/>
      <c r="AB3" s="453"/>
    </row>
    <row r="4" spans="1:28" ht="15" customHeight="1" thickBot="1">
      <c r="A4" s="1130"/>
      <c r="B4" s="1131"/>
      <c r="C4" s="1130"/>
      <c r="D4" s="1132"/>
      <c r="E4" s="1130"/>
      <c r="F4" s="1130"/>
      <c r="G4" s="1131"/>
      <c r="H4" s="1131"/>
      <c r="I4" s="1131"/>
      <c r="J4" s="1131"/>
      <c r="K4" s="1131"/>
      <c r="L4" s="1133"/>
      <c r="M4" s="1130"/>
      <c r="N4" s="1130"/>
      <c r="O4" s="1130"/>
      <c r="P4" s="1130"/>
    </row>
    <row r="5" spans="1:28" ht="21" customHeight="1">
      <c r="A5" s="1130"/>
      <c r="B5" s="1765" t="s">
        <v>931</v>
      </c>
      <c r="C5" s="1134"/>
      <c r="D5" s="1135"/>
      <c r="E5" s="1134"/>
      <c r="F5" s="1136"/>
      <c r="G5" s="1137"/>
      <c r="H5" s="1137"/>
      <c r="I5" s="1137"/>
      <c r="J5" s="1137"/>
      <c r="K5" s="1137"/>
      <c r="L5" s="1134"/>
      <c r="M5" s="1105"/>
      <c r="N5" s="1106"/>
      <c r="O5" s="1138"/>
      <c r="P5" s="1139"/>
    </row>
    <row r="6" spans="1:28" ht="7.5" customHeight="1">
      <c r="A6" s="1130"/>
      <c r="B6" s="1227"/>
      <c r="C6" s="1140"/>
      <c r="D6" s="1141"/>
      <c r="E6" s="1142"/>
      <c r="F6" s="1142"/>
      <c r="G6" s="1143"/>
      <c r="H6" s="1143"/>
      <c r="I6" s="1143"/>
      <c r="J6" s="1143"/>
      <c r="K6" s="1143"/>
      <c r="L6" s="1144"/>
      <c r="M6" s="1142"/>
      <c r="N6" s="1142"/>
      <c r="O6" s="1142"/>
      <c r="P6" s="1228"/>
    </row>
    <row r="7" spans="1:28" ht="18" customHeight="1">
      <c r="A7" s="1130"/>
      <c r="B7" s="1629" t="s">
        <v>932</v>
      </c>
      <c r="C7" s="1142"/>
      <c r="D7" s="1141"/>
      <c r="E7" s="1142"/>
      <c r="F7" s="1142"/>
      <c r="G7" s="1159"/>
      <c r="H7" s="1159"/>
      <c r="I7" s="1142"/>
      <c r="J7" s="1159"/>
      <c r="K7" s="1159"/>
      <c r="L7" s="1159"/>
      <c r="M7" s="1142"/>
      <c r="N7" s="1159"/>
      <c r="O7" s="1159"/>
      <c r="P7" s="1230"/>
    </row>
    <row r="8" spans="1:28" ht="18" customHeight="1" thickBot="1">
      <c r="A8" s="1130"/>
      <c r="B8" s="1227"/>
      <c r="C8" s="1297" t="s">
        <v>933</v>
      </c>
      <c r="D8" s="1141"/>
      <c r="E8" s="1142"/>
      <c r="F8" s="1142"/>
      <c r="G8" s="1159"/>
      <c r="H8" s="1159"/>
      <c r="I8" s="1149"/>
      <c r="J8" s="1149"/>
      <c r="K8" s="1149"/>
      <c r="L8" s="1147"/>
      <c r="M8" s="1162" t="s">
        <v>676</v>
      </c>
      <c r="N8" s="1142"/>
      <c r="O8" s="1147"/>
      <c r="P8" s="1230" t="s">
        <v>676</v>
      </c>
    </row>
    <row r="9" spans="1:28" ht="18" customHeight="1">
      <c r="A9" s="1130"/>
      <c r="B9" s="1227"/>
      <c r="C9" s="1142" t="s">
        <v>689</v>
      </c>
      <c r="D9" s="1141" t="s">
        <v>486</v>
      </c>
      <c r="E9" s="1142"/>
      <c r="F9" s="1142"/>
      <c r="G9" s="1159"/>
      <c r="H9" s="1159"/>
      <c r="I9" s="1142"/>
      <c r="J9" s="1159"/>
      <c r="K9" s="1162" t="s">
        <v>676</v>
      </c>
      <c r="L9" s="2616" t="s">
        <v>396</v>
      </c>
      <c r="M9" s="2617"/>
      <c r="N9" s="1159"/>
      <c r="O9" s="2618" t="s">
        <v>225</v>
      </c>
      <c r="P9" s="2619"/>
      <c r="Q9" s="967"/>
    </row>
    <row r="10" spans="1:28" ht="18" customHeight="1">
      <c r="A10" s="1130"/>
      <c r="B10" s="1227"/>
      <c r="C10" s="1153">
        <v>1</v>
      </c>
      <c r="D10" s="1173" t="s">
        <v>37</v>
      </c>
      <c r="E10" s="1174"/>
      <c r="F10" s="1174"/>
      <c r="G10" s="1226" t="s">
        <v>279</v>
      </c>
      <c r="H10" s="1159"/>
      <c r="I10" s="1150" t="s">
        <v>222</v>
      </c>
      <c r="J10" s="1150" t="s">
        <v>223</v>
      </c>
      <c r="K10" s="1151" t="s">
        <v>224</v>
      </c>
      <c r="L10" s="1220" t="s">
        <v>226</v>
      </c>
      <c r="M10" s="1221" t="s">
        <v>677</v>
      </c>
      <c r="N10" s="1142"/>
      <c r="O10" s="1220" t="s">
        <v>226</v>
      </c>
      <c r="P10" s="1221" t="s">
        <v>677</v>
      </c>
      <c r="Q10" s="967"/>
    </row>
    <row r="11" spans="1:28" ht="18" customHeight="1">
      <c r="A11" s="1130"/>
      <c r="B11" s="1227"/>
      <c r="C11" s="1157"/>
      <c r="D11" s="1175">
        <v>1.1000000000000001</v>
      </c>
      <c r="E11" s="1174" t="s">
        <v>194</v>
      </c>
      <c r="F11" s="1176" t="s">
        <v>299</v>
      </c>
      <c r="G11" s="1177">
        <f>採点LR2!G8</f>
        <v>1</v>
      </c>
      <c r="H11" s="1159"/>
      <c r="I11" s="1178">
        <f>VLOOKUP($R11,CO2データ!$H$6:$Q$53,2)</f>
        <v>6.04</v>
      </c>
      <c r="J11" s="1178">
        <f>VLOOKUP($R11,CO2データ!$H$6:$Q$53,3)</f>
        <v>3.02</v>
      </c>
      <c r="K11" s="1210">
        <f>VLOOKUP($R11,CO2データ!$H$6:$Q$53,4)</f>
        <v>2.0099999999999998</v>
      </c>
      <c r="L11" s="1155">
        <f>L37</f>
        <v>3</v>
      </c>
      <c r="M11" s="1211">
        <f>IF(L11&gt;=4.5,$K11,IF(L11&gt;=3.5,$J11,IF(L11&gt;=2.5,$I11,IF(L11&gt;=1.5,$H11,$G11))))</f>
        <v>6.04</v>
      </c>
      <c r="N11" s="1142"/>
      <c r="O11" s="1155">
        <v>3</v>
      </c>
      <c r="P11" s="1165">
        <f>CO2データ!I36</f>
        <v>6.04</v>
      </c>
      <c r="R11" s="965">
        <f>R37</f>
        <v>323</v>
      </c>
    </row>
    <row r="12" spans="1:28" ht="18" customHeight="1">
      <c r="A12" s="1130"/>
      <c r="B12" s="1227"/>
      <c r="C12" s="1157"/>
      <c r="D12" s="1180"/>
      <c r="E12" s="1142"/>
      <c r="F12" s="1181" t="s">
        <v>300</v>
      </c>
      <c r="G12" s="1177">
        <f>採点LR2!H8</f>
        <v>0</v>
      </c>
      <c r="H12" s="1159"/>
      <c r="I12" s="1178">
        <f>VLOOKUP($R12,CO2データ!$H$6:$Q$53,5)</f>
        <v>13.48</v>
      </c>
      <c r="J12" s="1178">
        <f>VLOOKUP($R12,CO2データ!$H$6:$Q$53,6)</f>
        <v>6.74</v>
      </c>
      <c r="K12" s="1210">
        <f>VLOOKUP($R12,CO2データ!$H$6:$Q$53,7)</f>
        <v>4.49</v>
      </c>
      <c r="L12" s="1155">
        <f>L11</f>
        <v>3</v>
      </c>
      <c r="M12" s="1211">
        <f>IF(L12&gt;=4.5,$K12,IF(L12&gt;=3.5,$J12,IF(L12&gt;=2.5,$I12,IF(L12&gt;=1.5,$H12,$G12))))</f>
        <v>13.48</v>
      </c>
      <c r="N12" s="1142"/>
      <c r="O12" s="1155">
        <v>3</v>
      </c>
      <c r="P12" s="1165">
        <f>CO2データ!L36</f>
        <v>13.48</v>
      </c>
      <c r="R12" s="965">
        <f>R11</f>
        <v>323</v>
      </c>
    </row>
    <row r="13" spans="1:28" ht="18" customHeight="1" thickBot="1">
      <c r="A13" s="1130"/>
      <c r="B13" s="1227"/>
      <c r="C13" s="1157"/>
      <c r="D13" s="1182"/>
      <c r="E13" s="1183"/>
      <c r="F13" s="1184" t="s">
        <v>301</v>
      </c>
      <c r="G13" s="1177">
        <f>採点LR2!I8</f>
        <v>0</v>
      </c>
      <c r="H13" s="1159"/>
      <c r="I13" s="1178">
        <f>VLOOKUP($R13,CO2データ!$H$6:$Q$53,8)</f>
        <v>13.2</v>
      </c>
      <c r="J13" s="1178">
        <f>VLOOKUP($R13,CO2データ!$H$6:$Q$53,9)</f>
        <v>6.6</v>
      </c>
      <c r="K13" s="1210">
        <f>VLOOKUP($R13,CO2データ!$H$6:$Q$53,10)</f>
        <v>4.4000000000000004</v>
      </c>
      <c r="L13" s="1155">
        <f>L11</f>
        <v>3</v>
      </c>
      <c r="M13" s="1212">
        <f>IF(L13&gt;=4.5,$K13,IF(L13&gt;=3.5,$J13,IF(L13&gt;=2.5,$I13,IF(L13&gt;=1.5,$H13,$G13))))</f>
        <v>13.2</v>
      </c>
      <c r="N13" s="1142"/>
      <c r="O13" s="1155">
        <v>3</v>
      </c>
      <c r="P13" s="1218">
        <f>CO2データ!O36</f>
        <v>13.2</v>
      </c>
      <c r="R13" s="965">
        <f>R11</f>
        <v>323</v>
      </c>
    </row>
    <row r="14" spans="1:28" ht="18" customHeight="1">
      <c r="A14" s="1130"/>
      <c r="B14" s="1227"/>
      <c r="C14" s="1157"/>
      <c r="D14" s="1185">
        <v>1.2</v>
      </c>
      <c r="E14" s="1163" t="s">
        <v>38</v>
      </c>
      <c r="F14" s="1163"/>
      <c r="G14" s="1164"/>
      <c r="H14" s="1159"/>
      <c r="I14" s="1159"/>
      <c r="J14" s="1159"/>
      <c r="K14" s="1159"/>
      <c r="L14" s="1214">
        <f>スコア!U32</f>
        <v>3</v>
      </c>
      <c r="M14" s="1142"/>
      <c r="N14" s="1142"/>
      <c r="O14" s="1216">
        <v>3</v>
      </c>
      <c r="P14" s="1231"/>
    </row>
    <row r="15" spans="1:28" ht="18" customHeight="1" thickBot="1">
      <c r="A15" s="1130"/>
      <c r="B15" s="1227"/>
      <c r="C15" s="1158"/>
      <c r="D15" s="1185">
        <v>1.3</v>
      </c>
      <c r="E15" s="1163" t="s">
        <v>1100</v>
      </c>
      <c r="F15" s="1163"/>
      <c r="G15" s="1164"/>
      <c r="H15" s="1159"/>
      <c r="I15" s="1159"/>
      <c r="J15" s="1159"/>
      <c r="K15" s="1159"/>
      <c r="L15" s="1215">
        <f>スコア!U33</f>
        <v>2</v>
      </c>
      <c r="M15" s="1142"/>
      <c r="N15" s="1142"/>
      <c r="O15" s="1217">
        <v>3</v>
      </c>
      <c r="P15" s="1232"/>
    </row>
    <row r="16" spans="1:28" ht="18" customHeight="1" thickBot="1">
      <c r="A16" s="1130"/>
      <c r="B16" s="1227"/>
      <c r="C16" s="1153">
        <v>2</v>
      </c>
      <c r="D16" s="1173" t="s">
        <v>491</v>
      </c>
      <c r="E16" s="1174"/>
      <c r="F16" s="1174"/>
      <c r="G16" s="1186"/>
      <c r="H16" s="1159"/>
      <c r="I16" s="1159"/>
      <c r="J16" s="1159"/>
      <c r="K16" s="1159"/>
      <c r="L16" s="1187"/>
      <c r="M16" s="1142"/>
      <c r="N16" s="1142"/>
      <c r="O16" s="1188"/>
      <c r="P16" s="1228"/>
    </row>
    <row r="17" spans="1:16" ht="18" customHeight="1" thickBot="1">
      <c r="A17" s="1130"/>
      <c r="B17" s="1227"/>
      <c r="C17" s="1158"/>
      <c r="D17" s="1185">
        <v>2.2000000000000002</v>
      </c>
      <c r="E17" s="1163" t="s">
        <v>255</v>
      </c>
      <c r="F17" s="1163"/>
      <c r="G17" s="1164"/>
      <c r="H17" s="1159"/>
      <c r="I17" s="1159"/>
      <c r="J17" s="1159"/>
      <c r="K17" s="1159"/>
      <c r="L17" s="1219">
        <f>スコア!U40</f>
        <v>3</v>
      </c>
      <c r="M17" s="1142"/>
      <c r="N17" s="1142"/>
      <c r="O17" s="1219">
        <v>3</v>
      </c>
      <c r="P17" s="1228"/>
    </row>
    <row r="18" spans="1:16" ht="3.75" customHeight="1" thickBot="1">
      <c r="A18" s="1130"/>
      <c r="B18" s="1227"/>
      <c r="C18" s="1142"/>
      <c r="D18" s="1141"/>
      <c r="E18" s="1142"/>
      <c r="F18" s="1142"/>
      <c r="G18" s="1159"/>
      <c r="H18" s="1159"/>
      <c r="I18" s="1159"/>
      <c r="J18" s="1159"/>
      <c r="K18" s="1159"/>
      <c r="L18" s="1159"/>
      <c r="M18" s="1161"/>
      <c r="N18" s="1142"/>
      <c r="O18" s="1142"/>
      <c r="P18" s="1228"/>
    </row>
    <row r="19" spans="1:16" ht="18" hidden="1" customHeight="1" thickBot="1">
      <c r="A19" s="1130"/>
      <c r="B19" s="1227"/>
      <c r="C19" s="1148" t="s">
        <v>916</v>
      </c>
      <c r="D19" s="1141"/>
      <c r="E19" s="1142"/>
      <c r="F19" s="1142"/>
      <c r="G19" s="1142"/>
      <c r="H19" s="1159"/>
      <c r="I19" s="1159"/>
      <c r="J19" s="1159"/>
      <c r="K19" s="1159"/>
      <c r="L19" s="1189"/>
      <c r="M19" s="1738"/>
      <c r="N19" s="1142"/>
      <c r="O19" s="1188"/>
      <c r="P19" s="1228"/>
    </row>
    <row r="20" spans="1:16" ht="18" hidden="1" customHeight="1">
      <c r="A20" s="1130"/>
      <c r="B20" s="1227"/>
      <c r="C20" s="1148"/>
      <c r="D20" s="1141"/>
      <c r="E20" s="1142"/>
      <c r="F20" s="1142"/>
      <c r="G20" s="1159"/>
      <c r="H20" s="1159"/>
      <c r="I20" s="1142"/>
      <c r="J20" s="1159"/>
      <c r="K20" s="1162"/>
      <c r="L20" s="2616" t="s">
        <v>396</v>
      </c>
      <c r="M20" s="2617"/>
      <c r="N20" s="1142"/>
      <c r="O20" s="1188"/>
      <c r="P20" s="1228"/>
    </row>
    <row r="21" spans="1:16" ht="18" hidden="1" customHeight="1">
      <c r="A21" s="1130"/>
      <c r="B21" s="1227"/>
      <c r="C21" s="1148"/>
      <c r="D21" s="1141"/>
      <c r="E21" s="1142"/>
      <c r="F21" s="1142"/>
      <c r="G21" s="1159"/>
      <c r="H21" s="1159"/>
      <c r="I21" s="1150" t="s">
        <v>222</v>
      </c>
      <c r="J21" s="1150" t="s">
        <v>223</v>
      </c>
      <c r="K21" s="1151" t="s">
        <v>224</v>
      </c>
      <c r="L21" s="1220" t="s">
        <v>226</v>
      </c>
      <c r="M21" s="1743" t="s">
        <v>909</v>
      </c>
      <c r="N21" s="1142"/>
      <c r="O21" s="1188"/>
      <c r="P21" s="1228"/>
    </row>
    <row r="22" spans="1:16" ht="18" hidden="1" customHeight="1" thickBot="1">
      <c r="A22" s="1130"/>
      <c r="B22" s="1227"/>
      <c r="C22" s="1148"/>
      <c r="D22" s="1141" t="s">
        <v>285</v>
      </c>
      <c r="E22" s="1142"/>
      <c r="F22" s="1142" t="s">
        <v>698</v>
      </c>
      <c r="G22" s="1159"/>
      <c r="H22" s="1159"/>
      <c r="I22" s="1192">
        <f>CO2データ!I162</f>
        <v>30</v>
      </c>
      <c r="J22" s="1192">
        <f>CO2データ!J162</f>
        <v>60</v>
      </c>
      <c r="K22" s="1192">
        <f>CO2データ!K162</f>
        <v>90</v>
      </c>
      <c r="L22" s="1160">
        <f>L11</f>
        <v>3</v>
      </c>
      <c r="M22" s="1744">
        <f>IF(L22&gt;=4.5,$K22,IF(L22&gt;=3.5,$J22,IF(L22&gt;=2.5,$I22,IF(L22&gt;=1.5,$H22,$G22))))</f>
        <v>30</v>
      </c>
      <c r="N22" s="1142"/>
      <c r="O22" s="1188"/>
      <c r="P22" s="1228"/>
    </row>
    <row r="23" spans="1:16" ht="17.25" hidden="1" customHeight="1">
      <c r="A23" s="1130"/>
      <c r="B23" s="1227"/>
      <c r="C23" s="1148"/>
      <c r="D23" s="1141"/>
      <c r="E23" s="1643" t="s">
        <v>900</v>
      </c>
      <c r="F23" s="1655">
        <f>メイン!C22</f>
        <v>0</v>
      </c>
      <c r="G23" s="1733" t="s">
        <v>1</v>
      </c>
      <c r="H23" s="1159"/>
      <c r="I23" s="1159"/>
      <c r="J23" s="1159"/>
      <c r="K23" s="1159"/>
      <c r="L23" s="1189"/>
      <c r="M23" s="1738"/>
      <c r="N23" s="1142"/>
      <c r="O23" s="1188"/>
      <c r="P23" s="1228"/>
    </row>
    <row r="24" spans="1:16" ht="17.25" hidden="1" customHeight="1">
      <c r="A24" s="1130"/>
      <c r="B24" s="1227"/>
      <c r="C24" s="1148"/>
      <c r="D24" s="1141"/>
      <c r="E24" s="1142"/>
      <c r="F24" s="1142" t="s">
        <v>917</v>
      </c>
      <c r="G24" s="1159"/>
      <c r="H24" s="1159"/>
      <c r="I24" s="1741" t="s">
        <v>918</v>
      </c>
      <c r="J24" s="1159"/>
      <c r="K24" s="1159"/>
      <c r="L24" s="1159"/>
      <c r="M24" s="1162" t="s">
        <v>676</v>
      </c>
      <c r="N24" s="1142"/>
      <c r="O24" s="1188"/>
      <c r="P24" s="1228"/>
    </row>
    <row r="25" spans="1:16" ht="17.25" hidden="1" customHeight="1">
      <c r="A25" s="1130"/>
      <c r="B25" s="1227"/>
      <c r="C25" s="1148"/>
      <c r="D25" s="1141" t="s">
        <v>850</v>
      </c>
      <c r="E25" s="1142"/>
      <c r="F25" s="1750">
        <f>採点LR1!G40</f>
        <v>0</v>
      </c>
      <c r="G25" s="1159"/>
      <c r="H25" s="1159"/>
      <c r="I25" s="1740">
        <f>CO2データ!F108</f>
        <v>10.99</v>
      </c>
      <c r="J25" s="1159"/>
      <c r="K25" s="1159"/>
      <c r="L25" s="1741"/>
      <c r="M25" s="1751" t="e">
        <f>F25*I25/$F$23/$M$22</f>
        <v>#DIV/0!</v>
      </c>
      <c r="N25" s="1142"/>
      <c r="O25" s="1188"/>
      <c r="P25" s="1235"/>
    </row>
    <row r="26" spans="1:16" ht="17.25" hidden="1" customHeight="1">
      <c r="A26" s="1130"/>
      <c r="B26" s="1227"/>
      <c r="C26" s="1148"/>
      <c r="D26" s="1141" t="s">
        <v>853</v>
      </c>
      <c r="E26" s="1142"/>
      <c r="F26" s="1750">
        <f>採点LR1!G41</f>
        <v>0</v>
      </c>
      <c r="G26" s="1159"/>
      <c r="H26" s="1159"/>
      <c r="I26" s="1740">
        <f>CO2データ!F109</f>
        <v>5.09</v>
      </c>
      <c r="J26" s="1159"/>
      <c r="K26" s="1159"/>
      <c r="L26" s="1741"/>
      <c r="M26" s="1751" t="e">
        <f>F26*I26/$F$23/$M$22</f>
        <v>#DIV/0!</v>
      </c>
      <c r="N26" s="1142"/>
      <c r="O26" s="1188"/>
      <c r="P26" s="1235"/>
    </row>
    <row r="27" spans="1:16" ht="17.25" hidden="1" customHeight="1">
      <c r="A27" s="1130"/>
      <c r="B27" s="1227"/>
      <c r="C27" s="1148"/>
      <c r="D27" s="1141" t="s">
        <v>854</v>
      </c>
      <c r="E27" s="1142"/>
      <c r="F27" s="1750">
        <f>採点LR1!G42</f>
        <v>0</v>
      </c>
      <c r="G27" s="1159"/>
      <c r="H27" s="1159"/>
      <c r="I27" s="1740">
        <f>CO2データ!F110</f>
        <v>5.09</v>
      </c>
      <c r="J27" s="1159"/>
      <c r="K27" s="1159"/>
      <c r="L27" s="1741"/>
      <c r="M27" s="1751" t="e">
        <f t="shared" ref="M27:M28" si="0">F27*I27/$F$23/$M$22</f>
        <v>#DIV/0!</v>
      </c>
      <c r="N27" s="1142"/>
      <c r="O27" s="1188"/>
      <c r="P27" s="1235"/>
    </row>
    <row r="28" spans="1:16" ht="17.25" hidden="1" customHeight="1">
      <c r="A28" s="1130"/>
      <c r="B28" s="1227"/>
      <c r="C28" s="1148"/>
      <c r="D28" s="1141" t="s">
        <v>906</v>
      </c>
      <c r="E28" s="1142"/>
      <c r="F28" s="1750">
        <f>採点LR1!G43</f>
        <v>0</v>
      </c>
      <c r="G28" s="1159"/>
      <c r="H28" s="1159"/>
      <c r="I28" s="1740">
        <f>CO2データ!F111</f>
        <v>5.09</v>
      </c>
      <c r="J28" s="1159"/>
      <c r="K28" s="1159"/>
      <c r="L28" s="1741"/>
      <c r="M28" s="1751" t="e">
        <f t="shared" si="0"/>
        <v>#DIV/0!</v>
      </c>
      <c r="N28" s="1142"/>
      <c r="O28" s="1188"/>
      <c r="P28" s="1235"/>
    </row>
    <row r="29" spans="1:16" ht="17.25" hidden="1" customHeight="1" thickBot="1">
      <c r="A29" s="1130"/>
      <c r="B29" s="1227"/>
      <c r="C29" s="1148"/>
      <c r="D29" s="1141"/>
      <c r="E29" s="1141"/>
      <c r="F29" s="1141"/>
      <c r="G29" s="1159"/>
      <c r="H29" s="1159"/>
      <c r="I29" s="1159"/>
      <c r="J29" s="1159"/>
      <c r="K29" s="1159"/>
      <c r="L29" s="1159"/>
      <c r="M29" s="1161"/>
      <c r="N29" s="1142"/>
      <c r="O29" s="1188"/>
      <c r="P29" s="1235"/>
    </row>
    <row r="30" spans="1:16" ht="18" customHeight="1" thickBot="1">
      <c r="A30" s="1130"/>
      <c r="B30" s="1227"/>
      <c r="C30" s="1297" t="s">
        <v>921</v>
      </c>
      <c r="D30" s="1141"/>
      <c r="E30" s="1142"/>
      <c r="F30" s="1142"/>
      <c r="G30" s="1142"/>
      <c r="H30" s="1159"/>
      <c r="I30" s="1159"/>
      <c r="J30" s="1159"/>
      <c r="K30" s="1159"/>
      <c r="L30" s="1189"/>
      <c r="M30" s="1190" t="e">
        <f>M11*G11+M12*G12+M13*G13+SUM(M25:M28)</f>
        <v>#DIV/0!</v>
      </c>
      <c r="N30" s="1142"/>
      <c r="O30" s="1188"/>
      <c r="P30" s="1190">
        <f>P11*G11+P12*G12+P13*G13</f>
        <v>6.04</v>
      </c>
    </row>
    <row r="31" spans="1:16" ht="13.5">
      <c r="A31" s="1130"/>
      <c r="B31" s="1227"/>
      <c r="C31" s="1142"/>
      <c r="D31" s="1141"/>
      <c r="E31" s="1142"/>
      <c r="F31" s="1142"/>
      <c r="G31" s="1142"/>
      <c r="H31" s="1159"/>
      <c r="I31" s="1159"/>
      <c r="J31" s="1159"/>
      <c r="K31" s="1159"/>
      <c r="L31" s="1189"/>
      <c r="M31" s="1191"/>
      <c r="N31" s="1142"/>
      <c r="O31" s="1188"/>
      <c r="P31" s="1235"/>
    </row>
    <row r="32" spans="1:16" ht="15.75" hidden="1" customHeight="1">
      <c r="A32" s="1130"/>
      <c r="B32" s="1227"/>
      <c r="C32" s="1142"/>
      <c r="D32" s="1141"/>
      <c r="E32" s="1142"/>
      <c r="F32" s="1142" t="s">
        <v>282</v>
      </c>
      <c r="G32" s="1159"/>
      <c r="H32" s="1159"/>
      <c r="I32" s="1192">
        <f>CO2データ!I162</f>
        <v>30</v>
      </c>
      <c r="J32" s="1192">
        <f>CO2データ!J162</f>
        <v>60</v>
      </c>
      <c r="K32" s="1192">
        <f>CO2データ!K162</f>
        <v>90</v>
      </c>
      <c r="L32" s="1179">
        <f>L37</f>
        <v>3</v>
      </c>
      <c r="M32" s="1193">
        <f>IF(L32&gt;=4.5,$K32,IF(L32&gt;=3.5,$J32,IF(L32&gt;=2.5,$I32,IF(L32&gt;=1.5,$H32,$G32))))</f>
        <v>30</v>
      </c>
      <c r="N32" s="1142"/>
      <c r="O32" s="1179">
        <v>3</v>
      </c>
      <c r="P32" s="1234">
        <f>CO2データ!I162</f>
        <v>30</v>
      </c>
    </row>
    <row r="33" spans="1:18" ht="16.5">
      <c r="A33" s="1130"/>
      <c r="B33" s="1629" t="s">
        <v>934</v>
      </c>
      <c r="C33" s="1142"/>
      <c r="D33" s="1141"/>
      <c r="E33" s="1142"/>
      <c r="F33" s="1142"/>
      <c r="G33" s="1159"/>
      <c r="H33" s="1159"/>
      <c r="I33" s="1159"/>
      <c r="J33" s="1159"/>
      <c r="K33" s="1159"/>
      <c r="L33" s="1156"/>
      <c r="M33" s="1142"/>
      <c r="N33" s="1142"/>
      <c r="O33" s="1156"/>
      <c r="P33" s="1228"/>
    </row>
    <row r="34" spans="1:18" ht="15" thickBot="1">
      <c r="A34" s="1130"/>
      <c r="B34" s="1229"/>
      <c r="C34" s="1297" t="s">
        <v>935</v>
      </c>
      <c r="D34" s="1141"/>
      <c r="E34" s="1142"/>
      <c r="F34" s="1142"/>
      <c r="G34" s="1159"/>
      <c r="H34" s="1159"/>
      <c r="I34" s="1159"/>
      <c r="J34" s="1159"/>
      <c r="K34" s="1159"/>
      <c r="L34" s="1156"/>
      <c r="M34" s="1162" t="s">
        <v>676</v>
      </c>
      <c r="N34" s="1142"/>
      <c r="O34" s="1156"/>
      <c r="P34" s="1230" t="s">
        <v>676</v>
      </c>
    </row>
    <row r="35" spans="1:18" ht="18" customHeight="1">
      <c r="A35" s="1130"/>
      <c r="B35" s="1227"/>
      <c r="C35" s="1142" t="s">
        <v>689</v>
      </c>
      <c r="D35" s="1141" t="s">
        <v>486</v>
      </c>
      <c r="E35" s="1142"/>
      <c r="F35" s="1142"/>
      <c r="G35" s="1159"/>
      <c r="H35" s="1159"/>
      <c r="I35" s="1142"/>
      <c r="J35" s="1159"/>
      <c r="K35" s="1162" t="s">
        <v>676</v>
      </c>
      <c r="L35" s="2616" t="s">
        <v>396</v>
      </c>
      <c r="M35" s="2617"/>
      <c r="N35" s="1159"/>
      <c r="O35" s="2618" t="s">
        <v>225</v>
      </c>
      <c r="P35" s="2619"/>
      <c r="Q35" s="967"/>
    </row>
    <row r="36" spans="1:18" ht="18" customHeight="1">
      <c r="A36" s="1130"/>
      <c r="B36" s="1227"/>
      <c r="C36" s="1153">
        <v>1</v>
      </c>
      <c r="D36" s="1173" t="s">
        <v>37</v>
      </c>
      <c r="E36" s="1174"/>
      <c r="F36" s="1174"/>
      <c r="G36" s="1186"/>
      <c r="H36" s="1159"/>
      <c r="I36" s="1150" t="s">
        <v>222</v>
      </c>
      <c r="J36" s="1150" t="s">
        <v>223</v>
      </c>
      <c r="K36" s="1151" t="s">
        <v>224</v>
      </c>
      <c r="L36" s="1220" t="s">
        <v>226</v>
      </c>
      <c r="M36" s="1221" t="s">
        <v>677</v>
      </c>
      <c r="N36" s="1142"/>
      <c r="O36" s="1220" t="s">
        <v>226</v>
      </c>
      <c r="P36" s="1221" t="s">
        <v>677</v>
      </c>
      <c r="Q36" s="967"/>
    </row>
    <row r="37" spans="1:18" ht="18" customHeight="1">
      <c r="A37" s="1130"/>
      <c r="B37" s="1227"/>
      <c r="C37" s="1157"/>
      <c r="D37" s="1175">
        <v>1.1000000000000001</v>
      </c>
      <c r="E37" s="1174" t="s">
        <v>194</v>
      </c>
      <c r="F37" s="1176" t="s">
        <v>299</v>
      </c>
      <c r="G37" s="1177">
        <f>G11</f>
        <v>1</v>
      </c>
      <c r="H37" s="1159"/>
      <c r="I37" s="1178">
        <f>VLOOKUP($R37,CO2データ!$H$58:$Q$105,2)</f>
        <v>3.24</v>
      </c>
      <c r="J37" s="1178">
        <f>VLOOKUP($R37,CO2データ!$H$58:$Q$105,3)</f>
        <v>4.62</v>
      </c>
      <c r="K37" s="1210">
        <f>VLOOKUP($R37,CO2データ!$H$58:$Q$105,4)</f>
        <v>5.45</v>
      </c>
      <c r="L37" s="1155">
        <f>スコア!U31</f>
        <v>3</v>
      </c>
      <c r="M37" s="1211">
        <f>IF(L37&gt;=4.5,$K37,IF(L37&gt;=3.5,$J37,IF(L37&gt;=2.5,$I37,IF(L37&gt;=1.5,$H37,$G37))))</f>
        <v>3.24</v>
      </c>
      <c r="N37" s="1142"/>
      <c r="O37" s="1155">
        <v>3</v>
      </c>
      <c r="P37" s="1167">
        <f>CO2データ!I88</f>
        <v>2.35</v>
      </c>
      <c r="R37" s="984">
        <f>L14*100+L15*10+L17</f>
        <v>323</v>
      </c>
    </row>
    <row r="38" spans="1:18" ht="18" customHeight="1">
      <c r="A38" s="1130"/>
      <c r="B38" s="1227"/>
      <c r="C38" s="1157"/>
      <c r="D38" s="1180"/>
      <c r="E38" s="1142"/>
      <c r="F38" s="1181" t="s">
        <v>300</v>
      </c>
      <c r="G38" s="1177">
        <f>G12</f>
        <v>0</v>
      </c>
      <c r="H38" s="1159"/>
      <c r="I38" s="1178">
        <f>VLOOKUP($R38,CO2データ!$H$58:$Q$105,5)</f>
        <v>3.57</v>
      </c>
      <c r="J38" s="1178">
        <f>VLOOKUP($R38,CO2データ!$H$58:$Q$105,6)</f>
        <v>5.4</v>
      </c>
      <c r="K38" s="1210">
        <f>VLOOKUP($R38,CO2データ!$H$58:$Q$105,7)</f>
        <v>6.38</v>
      </c>
      <c r="L38" s="1155">
        <f>L37</f>
        <v>3</v>
      </c>
      <c r="M38" s="1211">
        <f>IF(L38&gt;=4.5,$K38,IF(L38&gt;=3.5,$J38,IF(L38&gt;=2.5,$I38,IF(L38&gt;=1.5,$H38,$G38))))</f>
        <v>3.57</v>
      </c>
      <c r="N38" s="1142"/>
      <c r="O38" s="1155">
        <v>3</v>
      </c>
      <c r="P38" s="1194">
        <f>CO2データ!L88</f>
        <v>2.67</v>
      </c>
      <c r="R38" s="965">
        <f>R37</f>
        <v>323</v>
      </c>
    </row>
    <row r="39" spans="1:18" ht="18" customHeight="1" thickBot="1">
      <c r="A39" s="1130"/>
      <c r="B39" s="1227"/>
      <c r="C39" s="1158"/>
      <c r="D39" s="1182"/>
      <c r="E39" s="1183"/>
      <c r="F39" s="1184" t="s">
        <v>301</v>
      </c>
      <c r="G39" s="1177">
        <f>G13</f>
        <v>0</v>
      </c>
      <c r="H39" s="1159"/>
      <c r="I39" s="1178">
        <f>VLOOKUP($R39,CO2データ!$H$58:$Q$105,8)</f>
        <v>2.6500000000000004</v>
      </c>
      <c r="J39" s="1178">
        <f>VLOOKUP($R39,CO2データ!$H$58:$Q$105,9)</f>
        <v>3.66</v>
      </c>
      <c r="K39" s="1210">
        <f>VLOOKUP($R39,CO2データ!$H$58:$Q$105,10)</f>
        <v>4.04</v>
      </c>
      <c r="L39" s="1160">
        <f>L37</f>
        <v>3</v>
      </c>
      <c r="M39" s="1212">
        <f>IF(L39&gt;=4.5,$K39,IF(L39&gt;=3.5,$J39,IF(L39&gt;=2.5,$I39,IF(L39&gt;=1.5,$H39,$G39))))</f>
        <v>2.6500000000000004</v>
      </c>
      <c r="N39" s="1142"/>
      <c r="O39" s="1160">
        <v>3</v>
      </c>
      <c r="P39" s="1213">
        <f>CO2データ!O88</f>
        <v>2.58</v>
      </c>
      <c r="R39" s="965">
        <f>R38</f>
        <v>323</v>
      </c>
    </row>
    <row r="40" spans="1:18" ht="14.25" thickBot="1">
      <c r="A40" s="1130"/>
      <c r="B40" s="1227"/>
      <c r="C40" s="1142"/>
      <c r="D40" s="1141"/>
      <c r="E40" s="1142"/>
      <c r="F40" s="1142"/>
      <c r="G40" s="1159"/>
      <c r="H40" s="1159"/>
      <c r="I40" s="1159"/>
      <c r="J40" s="1159"/>
      <c r="K40" s="1159"/>
      <c r="L40" s="1159"/>
      <c r="M40" s="1161"/>
      <c r="N40" s="1142"/>
      <c r="O40" s="1142"/>
      <c r="P40" s="1235"/>
    </row>
    <row r="41" spans="1:18" ht="14.25" hidden="1">
      <c r="A41" s="1130"/>
      <c r="B41" s="1227"/>
      <c r="C41" s="1148" t="s">
        <v>905</v>
      </c>
      <c r="D41" s="1141"/>
      <c r="E41" s="1142"/>
      <c r="F41" s="1142"/>
      <c r="G41" s="1159"/>
      <c r="H41" s="1159"/>
      <c r="I41" s="1159"/>
      <c r="J41" s="1159"/>
      <c r="K41" s="1159"/>
      <c r="L41" s="1159"/>
      <c r="M41" s="1161"/>
      <c r="N41" s="1142"/>
      <c r="O41" s="1142"/>
      <c r="P41" s="1235"/>
    </row>
    <row r="42" spans="1:18" ht="15" hidden="1" customHeight="1">
      <c r="A42" s="1130"/>
      <c r="B42" s="1227"/>
      <c r="C42" s="1148"/>
      <c r="D42" s="1141" t="s">
        <v>912</v>
      </c>
      <c r="E42" s="1142"/>
      <c r="F42" s="1740">
        <f>CO2データ!L108</f>
        <v>20</v>
      </c>
      <c r="G42" s="1742" t="s">
        <v>908</v>
      </c>
      <c r="H42" s="1159"/>
      <c r="I42" s="1159"/>
      <c r="J42" s="1159"/>
      <c r="K42" s="1159"/>
      <c r="L42" s="1159"/>
      <c r="M42" s="1161"/>
      <c r="N42" s="1142"/>
      <c r="O42" s="1142"/>
      <c r="P42" s="1235"/>
    </row>
    <row r="43" spans="1:18" ht="14.25" hidden="1">
      <c r="A43" s="1130"/>
      <c r="B43" s="1227"/>
      <c r="C43" s="1142"/>
      <c r="D43" s="1141"/>
      <c r="E43" s="1142"/>
      <c r="F43" s="1142" t="s">
        <v>917</v>
      </c>
      <c r="G43" s="1159"/>
      <c r="H43" s="1159"/>
      <c r="I43" s="1741" t="s">
        <v>907</v>
      </c>
      <c r="J43" s="1741" t="s">
        <v>848</v>
      </c>
      <c r="K43" s="1741" t="s">
        <v>849</v>
      </c>
      <c r="L43" s="1159"/>
      <c r="M43" s="1162" t="s">
        <v>676</v>
      </c>
      <c r="N43" s="1142"/>
      <c r="O43" s="1142"/>
      <c r="P43" s="1235"/>
    </row>
    <row r="44" spans="1:18" ht="13.5" hidden="1">
      <c r="A44" s="1130"/>
      <c r="B44" s="1227"/>
      <c r="C44" s="1142"/>
      <c r="D44" s="1141" t="s">
        <v>850</v>
      </c>
      <c r="E44" s="1142"/>
      <c r="F44" s="1750">
        <f>採点LR1!G40</f>
        <v>0</v>
      </c>
      <c r="G44" s="1159"/>
      <c r="H44" s="1159"/>
      <c r="I44" s="1740">
        <f>CO2データ!F108</f>
        <v>10.99</v>
      </c>
      <c r="J44" s="1177">
        <f>ROUNDDOWN($M$22/$F$42,0)</f>
        <v>1</v>
      </c>
      <c r="K44" s="1192">
        <f>F44*I44*J44</f>
        <v>0</v>
      </c>
      <c r="L44" s="1741" t="s">
        <v>919</v>
      </c>
      <c r="M44" s="1751" t="e">
        <f>K44/$M$22/$F$23</f>
        <v>#DIV/0!</v>
      </c>
      <c r="N44" s="1142"/>
      <c r="O44" s="1142"/>
      <c r="P44" s="1235"/>
    </row>
    <row r="45" spans="1:18" ht="13.5" hidden="1">
      <c r="A45" s="1130"/>
      <c r="B45" s="1227"/>
      <c r="C45" s="1142"/>
      <c r="D45" s="1141" t="s">
        <v>853</v>
      </c>
      <c r="E45" s="1142"/>
      <c r="F45" s="1750">
        <f>採点LR1!G41</f>
        <v>0</v>
      </c>
      <c r="G45" s="1159"/>
      <c r="H45" s="1159"/>
      <c r="I45" s="1740">
        <f>CO2データ!F109</f>
        <v>5.09</v>
      </c>
      <c r="J45" s="1177">
        <f>ROUNDDOWN($M$22/$F$42,0)</f>
        <v>1</v>
      </c>
      <c r="K45" s="1192">
        <f t="shared" ref="K45:K47" si="1">F45*I45*J45</f>
        <v>0</v>
      </c>
      <c r="L45" s="1741" t="s">
        <v>919</v>
      </c>
      <c r="M45" s="1751" t="e">
        <f t="shared" ref="M45:M47" si="2">K45/$M$22/$F$23</f>
        <v>#DIV/0!</v>
      </c>
      <c r="N45" s="1142"/>
      <c r="O45" s="1142"/>
      <c r="P45" s="1235"/>
    </row>
    <row r="46" spans="1:18" ht="13.5" hidden="1">
      <c r="A46" s="1130"/>
      <c r="B46" s="1227"/>
      <c r="C46" s="1142"/>
      <c r="D46" s="1141" t="s">
        <v>854</v>
      </c>
      <c r="E46" s="1142"/>
      <c r="F46" s="1750">
        <f>採点LR1!G42</f>
        <v>0</v>
      </c>
      <c r="G46" s="1159"/>
      <c r="H46" s="1159"/>
      <c r="I46" s="1740">
        <f>CO2データ!F110</f>
        <v>5.09</v>
      </c>
      <c r="J46" s="1177">
        <f>ROUNDDOWN($M$22/$F$42,0)</f>
        <v>1</v>
      </c>
      <c r="K46" s="1192">
        <f t="shared" si="1"/>
        <v>0</v>
      </c>
      <c r="L46" s="1741" t="s">
        <v>919</v>
      </c>
      <c r="M46" s="1751" t="e">
        <f t="shared" si="2"/>
        <v>#DIV/0!</v>
      </c>
      <c r="N46" s="1142"/>
      <c r="O46" s="1142"/>
      <c r="P46" s="1235"/>
    </row>
    <row r="47" spans="1:18" ht="13.5" hidden="1">
      <c r="A47" s="1130"/>
      <c r="B47" s="1227"/>
      <c r="C47" s="1142"/>
      <c r="D47" s="1141" t="s">
        <v>906</v>
      </c>
      <c r="E47" s="1142"/>
      <c r="F47" s="1750">
        <f>採点LR1!G43</f>
        <v>0</v>
      </c>
      <c r="G47" s="1159"/>
      <c r="H47" s="1159"/>
      <c r="I47" s="1740">
        <f>CO2データ!F111</f>
        <v>5.09</v>
      </c>
      <c r="J47" s="1177">
        <f>ROUNDDOWN($M$22/$F$42,0)</f>
        <v>1</v>
      </c>
      <c r="K47" s="1192">
        <f t="shared" si="1"/>
        <v>0</v>
      </c>
      <c r="L47" s="1741" t="s">
        <v>919</v>
      </c>
      <c r="M47" s="1751" t="e">
        <f t="shared" si="2"/>
        <v>#DIV/0!</v>
      </c>
      <c r="N47" s="1142"/>
      <c r="O47" s="1142"/>
      <c r="P47" s="1235"/>
    </row>
    <row r="48" spans="1:18" ht="14.25" hidden="1" thickBot="1">
      <c r="A48" s="1130"/>
      <c r="B48" s="1227"/>
      <c r="C48" s="1142"/>
      <c r="D48" s="1141"/>
      <c r="E48" s="1142"/>
      <c r="F48" s="1142"/>
      <c r="G48" s="1159"/>
      <c r="H48" s="1159"/>
      <c r="I48" s="1159"/>
      <c r="J48" s="1159"/>
      <c r="K48" s="1159"/>
      <c r="L48" s="1159"/>
      <c r="M48" s="1161"/>
      <c r="N48" s="1142"/>
      <c r="O48" s="1142"/>
      <c r="P48" s="1233"/>
    </row>
    <row r="49" spans="1:256" ht="18" customHeight="1" thickBot="1">
      <c r="A49" s="1130"/>
      <c r="B49" s="1227"/>
      <c r="C49" s="1297" t="s">
        <v>922</v>
      </c>
      <c r="D49" s="1141"/>
      <c r="E49" s="1142"/>
      <c r="F49" s="1142"/>
      <c r="G49" s="1142"/>
      <c r="H49" s="1159"/>
      <c r="I49" s="1159"/>
      <c r="J49" s="1159"/>
      <c r="K49" s="1159"/>
      <c r="L49" s="1166"/>
      <c r="M49" s="1190" t="e">
        <f>M37*G37+M38*G38+M39*G39+SUM(M44:M47)</f>
        <v>#DIV/0!</v>
      </c>
      <c r="N49" s="1142"/>
      <c r="O49" s="1142"/>
      <c r="P49" s="1190">
        <f>P37*G37+P38*G38+P39*G39</f>
        <v>2.35</v>
      </c>
    </row>
    <row r="50" spans="1:256" ht="18" customHeight="1">
      <c r="A50" s="1130"/>
      <c r="B50" s="1227"/>
      <c r="C50" s="1142"/>
      <c r="D50" s="1141"/>
      <c r="E50" s="1142"/>
      <c r="F50" s="1142"/>
      <c r="G50" s="1142"/>
      <c r="H50" s="1159"/>
      <c r="I50" s="1159"/>
      <c r="J50" s="1159"/>
      <c r="K50" s="1159"/>
      <c r="L50" s="1166"/>
      <c r="M50" s="1191"/>
      <c r="N50" s="1142"/>
      <c r="O50" s="1142"/>
      <c r="P50" s="1235"/>
    </row>
    <row r="51" spans="1:256" ht="18" customHeight="1" thickBot="1">
      <c r="A51" s="1130"/>
      <c r="B51" s="1629" t="s">
        <v>936</v>
      </c>
      <c r="C51" s="1145"/>
      <c r="D51" s="1146"/>
      <c r="E51" s="1145"/>
      <c r="F51" s="1142"/>
      <c r="G51" s="1143"/>
      <c r="H51" s="1143"/>
      <c r="I51" s="1143"/>
      <c r="J51" s="1143"/>
      <c r="K51" s="1143"/>
      <c r="L51" s="1763"/>
      <c r="M51" s="1162" t="s">
        <v>802</v>
      </c>
      <c r="N51" s="1142"/>
      <c r="O51" s="1142"/>
      <c r="P51" s="1230" t="s">
        <v>802</v>
      </c>
    </row>
    <row r="52" spans="1:256" ht="16.5" customHeight="1" thickBot="1">
      <c r="A52"/>
      <c r="B52" s="1629"/>
      <c r="C52" s="1297" t="s">
        <v>579</v>
      </c>
      <c r="D52" s="1630"/>
      <c r="E52" s="1630"/>
      <c r="F52" s="1631"/>
      <c r="G52" s="1630"/>
      <c r="H52" s="1630"/>
      <c r="I52" s="1630"/>
      <c r="J52" s="1630"/>
      <c r="K52" s="1630"/>
      <c r="L52" s="1632" t="s">
        <v>580</v>
      </c>
      <c r="M52" s="1633" t="e">
        <f>IF(採点LR1!J29=採点LR1!T28,CO2計算!M55,CO2計算!M59)+CO2計算!M64</f>
        <v>#VALUE!</v>
      </c>
      <c r="N52" s="1142"/>
      <c r="O52" s="1298" t="s">
        <v>581</v>
      </c>
      <c r="P52" s="1633" t="e">
        <f>IF(採点LR1!J29=採点LR1!T28,CO2計算!P55,CO2計算!P59)+CO2計算!P64</f>
        <v>#VALUE!</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c r="B53" s="1629"/>
      <c r="C53" s="1297"/>
      <c r="D53" s="1630"/>
      <c r="E53" s="1630"/>
      <c r="F53" s="1630"/>
      <c r="G53" s="857"/>
      <c r="H53" s="1630"/>
      <c r="I53" s="1630" t="s">
        <v>895</v>
      </c>
      <c r="J53" s="1630"/>
      <c r="K53" s="1630" t="s">
        <v>896</v>
      </c>
      <c r="L53" s="1634"/>
      <c r="M53" s="1162"/>
      <c r="N53" s="1142"/>
      <c r="O53" s="1298"/>
      <c r="P53" s="1635"/>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629"/>
      <c r="C54" s="1297"/>
      <c r="D54" s="1630"/>
      <c r="E54" s="1630"/>
      <c r="F54" s="1630"/>
      <c r="G54" s="1729" t="s">
        <v>1</v>
      </c>
      <c r="H54" s="1630"/>
      <c r="I54" s="1730" t="s">
        <v>897</v>
      </c>
      <c r="J54" s="1730" t="s">
        <v>898</v>
      </c>
      <c r="K54" s="1141" t="s">
        <v>899</v>
      </c>
      <c r="L54" s="1636"/>
      <c r="M54" s="1162" t="s">
        <v>802</v>
      </c>
      <c r="N54" s="1142"/>
      <c r="O54" s="1142"/>
      <c r="P54" s="1230" t="s">
        <v>802</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629"/>
      <c r="C55" s="1297"/>
      <c r="D55" s="1630" t="s">
        <v>973</v>
      </c>
      <c r="E55" s="1637"/>
      <c r="F55" s="1643" t="s">
        <v>900</v>
      </c>
      <c r="G55" s="1655">
        <f>メイン!C22</f>
        <v>0</v>
      </c>
      <c r="H55" s="1630"/>
      <c r="I55" s="1639">
        <f>採点LR1!I17*1.1+採点LR1!H18</f>
        <v>87348.5</v>
      </c>
      <c r="J55" s="1640">
        <f>IF(採点LR1!H23=0,採点LR1!H19+採点LR1!H20,採点LR1!H22)</f>
        <v>73105</v>
      </c>
      <c r="K55" s="1638" t="e">
        <f>CO2データ!K131</f>
        <v>#VALUE!</v>
      </c>
      <c r="L55" s="1641"/>
      <c r="M55" s="1655" t="e">
        <f>J55*K55/G55</f>
        <v>#VALUE!</v>
      </c>
      <c r="N55" s="1142"/>
      <c r="O55" s="1298"/>
      <c r="P55" s="1731" t="e">
        <f>I55*K55/G55</f>
        <v>#VALUE!</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629"/>
      <c r="C56" s="1297"/>
      <c r="D56" s="1630"/>
      <c r="E56" s="1637"/>
      <c r="F56" s="1637"/>
      <c r="G56" s="1637"/>
      <c r="H56" s="1637"/>
      <c r="I56" s="1637"/>
      <c r="J56" s="1637"/>
      <c r="K56" s="1637"/>
      <c r="L56" s="1645"/>
      <c r="M56" s="1645"/>
      <c r="N56" s="1645"/>
      <c r="O56" s="1298"/>
      <c r="P56" s="1635"/>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s="1684"/>
      <c r="B57" s="1629"/>
      <c r="C57" s="1297"/>
      <c r="D57" s="1630"/>
      <c r="E57" s="1637"/>
      <c r="F57" s="1732"/>
      <c r="G57" s="1637"/>
      <c r="H57" s="857"/>
      <c r="I57" s="1730" t="s">
        <v>897</v>
      </c>
      <c r="J57" s="1730" t="s">
        <v>898</v>
      </c>
      <c r="K57" s="1729"/>
      <c r="L57" s="1645"/>
      <c r="M57" s="1645"/>
      <c r="N57" s="1645"/>
      <c r="O57" s="1298"/>
      <c r="P57" s="1635"/>
      <c r="Q57" s="1684"/>
      <c r="R57" s="1684"/>
      <c r="S57" s="1684"/>
      <c r="T57" s="1684"/>
      <c r="U57" s="1684"/>
      <c r="V57" s="1684"/>
      <c r="W57" s="1684"/>
      <c r="X57" s="1684"/>
      <c r="Y57" s="1684"/>
      <c r="Z57" s="1684"/>
      <c r="AA57" s="1684"/>
      <c r="AB57" s="1684"/>
      <c r="AC57" s="1684"/>
      <c r="AD57" s="1684"/>
      <c r="AE57" s="1684"/>
      <c r="AF57" s="1684"/>
      <c r="AG57" s="1684"/>
      <c r="AH57" s="1684"/>
      <c r="AI57" s="1684"/>
      <c r="AJ57" s="1684"/>
      <c r="AK57" s="1684"/>
      <c r="AL57" s="1684"/>
      <c r="AM57" s="1684"/>
      <c r="AN57" s="1684"/>
      <c r="AO57" s="1684"/>
      <c r="AP57" s="1684"/>
      <c r="AQ57" s="1684"/>
      <c r="AR57" s="1684"/>
      <c r="AS57" s="1684"/>
      <c r="AT57" s="1684"/>
      <c r="AU57" s="1684"/>
      <c r="AV57" s="1684"/>
      <c r="AW57" s="1684"/>
      <c r="AX57" s="1684"/>
      <c r="AY57" s="1684"/>
      <c r="AZ57" s="1684"/>
      <c r="BA57" s="1684"/>
      <c r="BB57" s="1684"/>
      <c r="BC57" s="1684"/>
      <c r="BD57" s="1684"/>
      <c r="BE57" s="1684"/>
      <c r="BF57" s="1684"/>
      <c r="BG57" s="1684"/>
      <c r="BH57" s="1684"/>
      <c r="BI57" s="1684"/>
      <c r="BJ57" s="1684"/>
      <c r="BK57" s="1684"/>
      <c r="BL57" s="1684"/>
      <c r="BM57" s="1684"/>
      <c r="BN57" s="1684"/>
      <c r="BO57" s="1684"/>
      <c r="BP57" s="1684"/>
      <c r="BQ57" s="1684"/>
      <c r="BR57" s="1684"/>
      <c r="BS57" s="1684"/>
      <c r="BT57" s="1684"/>
      <c r="BU57" s="1684"/>
      <c r="BV57" s="1684"/>
      <c r="BW57" s="1684"/>
      <c r="BX57" s="1684"/>
      <c r="BY57" s="1684"/>
      <c r="BZ57" s="1684"/>
      <c r="CA57" s="1684"/>
      <c r="CB57" s="1684"/>
      <c r="CC57" s="1684"/>
      <c r="CD57" s="1684"/>
      <c r="CE57" s="1684"/>
      <c r="CF57" s="1684"/>
      <c r="CG57" s="1684"/>
      <c r="CH57" s="1684"/>
      <c r="CI57" s="1684"/>
      <c r="CJ57" s="1684"/>
      <c r="CK57" s="1684"/>
      <c r="CL57" s="1684"/>
      <c r="CM57" s="1684"/>
      <c r="CN57" s="1684"/>
      <c r="CO57" s="1684"/>
      <c r="CP57" s="1684"/>
      <c r="CQ57" s="1684"/>
      <c r="CR57" s="1684"/>
      <c r="CS57" s="1684"/>
      <c r="CT57" s="1684"/>
      <c r="CU57" s="1684"/>
      <c r="CV57" s="1684"/>
      <c r="CW57" s="1684"/>
      <c r="CX57" s="1684"/>
      <c r="CY57" s="1684"/>
      <c r="CZ57" s="1684"/>
      <c r="DA57" s="1684"/>
      <c r="DB57" s="1684"/>
      <c r="DC57" s="1684"/>
      <c r="DD57" s="1684"/>
      <c r="DE57" s="1684"/>
      <c r="DF57" s="1684"/>
      <c r="DG57" s="1684"/>
      <c r="DH57" s="1684"/>
      <c r="DI57" s="1684"/>
      <c r="DJ57" s="1684"/>
      <c r="DK57" s="1684"/>
      <c r="DL57" s="1684"/>
      <c r="DM57" s="1684"/>
      <c r="DN57" s="1684"/>
      <c r="DO57" s="1684"/>
      <c r="DP57" s="1684"/>
      <c r="DQ57" s="1684"/>
      <c r="DR57" s="1684"/>
      <c r="DS57" s="1684"/>
      <c r="DT57" s="1684"/>
      <c r="DU57" s="1684"/>
      <c r="DV57" s="1684"/>
      <c r="DW57" s="1684"/>
      <c r="DX57" s="1684"/>
      <c r="DY57" s="1684"/>
      <c r="DZ57" s="1684"/>
      <c r="EA57" s="1684"/>
      <c r="EB57" s="1684"/>
      <c r="EC57" s="1684"/>
      <c r="ED57" s="1684"/>
      <c r="EE57" s="1684"/>
      <c r="EF57" s="1684"/>
      <c r="EG57" s="1684"/>
      <c r="EH57" s="1684"/>
      <c r="EI57" s="1684"/>
      <c r="EJ57" s="1684"/>
      <c r="EK57" s="1684"/>
      <c r="EL57" s="1684"/>
      <c r="EM57" s="1684"/>
      <c r="EN57" s="1684"/>
      <c r="EO57" s="1684"/>
      <c r="EP57" s="1684"/>
      <c r="EQ57" s="1684"/>
      <c r="ER57" s="1684"/>
      <c r="ES57" s="1684"/>
      <c r="ET57" s="1684"/>
      <c r="EU57" s="1684"/>
      <c r="EV57" s="1684"/>
      <c r="EW57" s="1684"/>
      <c r="EX57" s="1684"/>
      <c r="EY57" s="1684"/>
      <c r="EZ57" s="1684"/>
      <c r="FA57" s="1684"/>
      <c r="FB57" s="1684"/>
      <c r="FC57" s="1684"/>
      <c r="FD57" s="1684"/>
      <c r="FE57" s="1684"/>
      <c r="FF57" s="1684"/>
      <c r="FG57" s="1684"/>
      <c r="FH57" s="1684"/>
      <c r="FI57" s="1684"/>
      <c r="FJ57" s="1684"/>
      <c r="FK57" s="1684"/>
      <c r="FL57" s="1684"/>
      <c r="FM57" s="1684"/>
      <c r="FN57" s="1684"/>
      <c r="FO57" s="1684"/>
      <c r="FP57" s="1684"/>
      <c r="FQ57" s="1684"/>
      <c r="FR57" s="1684"/>
      <c r="FS57" s="1684"/>
      <c r="FT57" s="1684"/>
      <c r="FU57" s="1684"/>
      <c r="FV57" s="1684"/>
      <c r="FW57" s="1684"/>
      <c r="FX57" s="1684"/>
      <c r="FY57" s="1684"/>
      <c r="FZ57" s="1684"/>
      <c r="GA57" s="1684"/>
      <c r="GB57" s="1684"/>
      <c r="GC57" s="1684"/>
      <c r="GD57" s="1684"/>
      <c r="GE57" s="1684"/>
      <c r="GF57" s="1684"/>
      <c r="GG57" s="1684"/>
      <c r="GH57" s="1684"/>
      <c r="GI57" s="1684"/>
      <c r="GJ57" s="1684"/>
      <c r="GK57" s="1684"/>
      <c r="GL57" s="1684"/>
      <c r="GM57" s="1684"/>
      <c r="GN57" s="1684"/>
      <c r="GO57" s="1684"/>
      <c r="GP57" s="1684"/>
      <c r="GQ57" s="1684"/>
      <c r="GR57" s="1684"/>
      <c r="GS57" s="1684"/>
      <c r="GT57" s="1684"/>
      <c r="GU57" s="1684"/>
      <c r="GV57" s="1684"/>
      <c r="GW57" s="1684"/>
      <c r="GX57" s="1684"/>
      <c r="GY57" s="1684"/>
      <c r="GZ57" s="1684"/>
      <c r="HA57" s="1684"/>
      <c r="HB57" s="1684"/>
      <c r="HC57" s="1684"/>
      <c r="HD57" s="1684"/>
      <c r="HE57" s="1684"/>
      <c r="HF57" s="1684"/>
      <c r="HG57" s="1684"/>
      <c r="HH57" s="1684"/>
      <c r="HI57" s="1684"/>
      <c r="HJ57" s="1684"/>
      <c r="HK57" s="1684"/>
      <c r="HL57" s="1684"/>
      <c r="HM57" s="1684"/>
      <c r="HN57" s="1684"/>
      <c r="HO57" s="1684"/>
      <c r="HP57" s="1684"/>
      <c r="HQ57" s="1684"/>
      <c r="HR57" s="1684"/>
      <c r="HS57" s="1684"/>
      <c r="HT57" s="1684"/>
      <c r="HU57" s="1684"/>
      <c r="HV57" s="1684"/>
      <c r="HW57" s="1684"/>
      <c r="HX57" s="1684"/>
      <c r="HY57" s="1684"/>
      <c r="HZ57" s="1684"/>
      <c r="IA57" s="1684"/>
      <c r="IB57" s="1684"/>
      <c r="IC57" s="1684"/>
      <c r="ID57" s="1684"/>
      <c r="IE57" s="1684"/>
      <c r="IF57" s="1684"/>
      <c r="IG57" s="1684"/>
      <c r="IH57" s="1684"/>
      <c r="II57" s="1684"/>
      <c r="IJ57" s="1684"/>
      <c r="IK57" s="1684"/>
      <c r="IL57" s="1684"/>
      <c r="IM57" s="1684"/>
      <c r="IN57" s="1684"/>
      <c r="IO57" s="1684"/>
      <c r="IP57" s="1684"/>
      <c r="IQ57" s="1684"/>
      <c r="IR57" s="1684"/>
      <c r="IS57" s="1684"/>
      <c r="IT57" s="1684"/>
      <c r="IU57" s="1684"/>
      <c r="IV57" s="1684"/>
    </row>
    <row r="58" spans="1:256" ht="13.5">
      <c r="A58" s="1684"/>
      <c r="B58" s="1629"/>
      <c r="C58" s="1297"/>
      <c r="D58" s="1630"/>
      <c r="E58" s="1630"/>
      <c r="F58" s="1732"/>
      <c r="G58" s="1637"/>
      <c r="H58" s="857"/>
      <c r="I58" s="1420" t="s">
        <v>871</v>
      </c>
      <c r="J58" s="1420" t="s">
        <v>871</v>
      </c>
      <c r="K58" s="1729"/>
      <c r="L58" s="1645"/>
      <c r="M58" s="1645"/>
      <c r="N58" s="1645"/>
      <c r="O58" s="1298"/>
      <c r="P58" s="1635"/>
      <c r="Q58" s="1684"/>
      <c r="R58" s="1684"/>
      <c r="S58" s="1684"/>
      <c r="T58" s="1684"/>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V58" s="1684"/>
      <c r="AW58" s="1684"/>
      <c r="AX58" s="1684"/>
      <c r="AY58" s="1684"/>
      <c r="AZ58" s="1684"/>
      <c r="BA58" s="1684"/>
      <c r="BB58" s="1684"/>
      <c r="BC58" s="1684"/>
      <c r="BD58" s="1684"/>
      <c r="BE58" s="1684"/>
      <c r="BF58" s="1684"/>
      <c r="BG58" s="1684"/>
      <c r="BH58" s="1684"/>
      <c r="BI58" s="1684"/>
      <c r="BJ58" s="1684"/>
      <c r="BK58" s="1684"/>
      <c r="BL58" s="1684"/>
      <c r="BM58" s="1684"/>
      <c r="BN58" s="1684"/>
      <c r="BO58" s="1684"/>
      <c r="BP58" s="1684"/>
      <c r="BQ58" s="1684"/>
      <c r="BR58" s="1684"/>
      <c r="BS58" s="1684"/>
      <c r="BT58" s="1684"/>
      <c r="BU58" s="1684"/>
      <c r="BV58" s="1684"/>
      <c r="BW58" s="1684"/>
      <c r="BX58" s="1684"/>
      <c r="BY58" s="1684"/>
      <c r="BZ58" s="1684"/>
      <c r="CA58" s="1684"/>
      <c r="CB58" s="1684"/>
      <c r="CC58" s="1684"/>
      <c r="CD58" s="1684"/>
      <c r="CE58" s="1684"/>
      <c r="CF58" s="1684"/>
      <c r="CG58" s="1684"/>
      <c r="CH58" s="1684"/>
      <c r="CI58" s="1684"/>
      <c r="CJ58" s="1684"/>
      <c r="CK58" s="1684"/>
      <c r="CL58" s="1684"/>
      <c r="CM58" s="1684"/>
      <c r="CN58" s="1684"/>
      <c r="CO58" s="1684"/>
      <c r="CP58" s="1684"/>
      <c r="CQ58" s="1684"/>
      <c r="CR58" s="1684"/>
      <c r="CS58" s="1684"/>
      <c r="CT58" s="1684"/>
      <c r="CU58" s="1684"/>
      <c r="CV58" s="1684"/>
      <c r="CW58" s="1684"/>
      <c r="CX58" s="1684"/>
      <c r="CY58" s="1684"/>
      <c r="CZ58" s="1684"/>
      <c r="DA58" s="1684"/>
      <c r="DB58" s="1684"/>
      <c r="DC58" s="1684"/>
      <c r="DD58" s="1684"/>
      <c r="DE58" s="1684"/>
      <c r="DF58" s="1684"/>
      <c r="DG58" s="1684"/>
      <c r="DH58" s="1684"/>
      <c r="DI58" s="1684"/>
      <c r="DJ58" s="1684"/>
      <c r="DK58" s="1684"/>
      <c r="DL58" s="1684"/>
      <c r="DM58" s="1684"/>
      <c r="DN58" s="1684"/>
      <c r="DO58" s="1684"/>
      <c r="DP58" s="1684"/>
      <c r="DQ58" s="1684"/>
      <c r="DR58" s="1684"/>
      <c r="DS58" s="1684"/>
      <c r="DT58" s="1684"/>
      <c r="DU58" s="1684"/>
      <c r="DV58" s="1684"/>
      <c r="DW58" s="1684"/>
      <c r="DX58" s="1684"/>
      <c r="DY58" s="1684"/>
      <c r="DZ58" s="1684"/>
      <c r="EA58" s="1684"/>
      <c r="EB58" s="1684"/>
      <c r="EC58" s="1684"/>
      <c r="ED58" s="1684"/>
      <c r="EE58" s="1684"/>
      <c r="EF58" s="1684"/>
      <c r="EG58" s="1684"/>
      <c r="EH58" s="1684"/>
      <c r="EI58" s="1684"/>
      <c r="EJ58" s="1684"/>
      <c r="EK58" s="1684"/>
      <c r="EL58" s="1684"/>
      <c r="EM58" s="1684"/>
      <c r="EN58" s="1684"/>
      <c r="EO58" s="1684"/>
      <c r="EP58" s="1684"/>
      <c r="EQ58" s="1684"/>
      <c r="ER58" s="1684"/>
      <c r="ES58" s="1684"/>
      <c r="ET58" s="1684"/>
      <c r="EU58" s="1684"/>
      <c r="EV58" s="1684"/>
      <c r="EW58" s="1684"/>
      <c r="EX58" s="1684"/>
      <c r="EY58" s="1684"/>
      <c r="EZ58" s="1684"/>
      <c r="FA58" s="1684"/>
      <c r="FB58" s="1684"/>
      <c r="FC58" s="1684"/>
      <c r="FD58" s="1684"/>
      <c r="FE58" s="1684"/>
      <c r="FF58" s="1684"/>
      <c r="FG58" s="1684"/>
      <c r="FH58" s="1684"/>
      <c r="FI58" s="1684"/>
      <c r="FJ58" s="1684"/>
      <c r="FK58" s="1684"/>
      <c r="FL58" s="1684"/>
      <c r="FM58" s="1684"/>
      <c r="FN58" s="1684"/>
      <c r="FO58" s="1684"/>
      <c r="FP58" s="1684"/>
      <c r="FQ58" s="1684"/>
      <c r="FR58" s="1684"/>
      <c r="FS58" s="1684"/>
      <c r="FT58" s="1684"/>
      <c r="FU58" s="1684"/>
      <c r="FV58" s="1684"/>
      <c r="FW58" s="1684"/>
      <c r="FX58" s="1684"/>
      <c r="FY58" s="1684"/>
      <c r="FZ58" s="1684"/>
      <c r="GA58" s="1684"/>
      <c r="GB58" s="1684"/>
      <c r="GC58" s="1684"/>
      <c r="GD58" s="1684"/>
      <c r="GE58" s="1684"/>
      <c r="GF58" s="1684"/>
      <c r="GG58" s="1684"/>
      <c r="GH58" s="1684"/>
      <c r="GI58" s="1684"/>
      <c r="GJ58" s="1684"/>
      <c r="GK58" s="1684"/>
      <c r="GL58" s="1684"/>
      <c r="GM58" s="1684"/>
      <c r="GN58" s="1684"/>
      <c r="GO58" s="1684"/>
      <c r="GP58" s="1684"/>
      <c r="GQ58" s="1684"/>
      <c r="GR58" s="1684"/>
      <c r="GS58" s="1684"/>
      <c r="GT58" s="1684"/>
      <c r="GU58" s="1684"/>
      <c r="GV58" s="1684"/>
      <c r="GW58" s="1684"/>
      <c r="GX58" s="1684"/>
      <c r="GY58" s="1684"/>
      <c r="GZ58" s="1684"/>
      <c r="HA58" s="1684"/>
      <c r="HB58" s="1684"/>
      <c r="HC58" s="1684"/>
      <c r="HD58" s="1684"/>
      <c r="HE58" s="1684"/>
      <c r="HF58" s="1684"/>
      <c r="HG58" s="1684"/>
      <c r="HH58" s="1684"/>
      <c r="HI58" s="1684"/>
      <c r="HJ58" s="1684"/>
      <c r="HK58" s="1684"/>
      <c r="HL58" s="1684"/>
      <c r="HM58" s="1684"/>
      <c r="HN58" s="1684"/>
      <c r="HO58" s="1684"/>
      <c r="HP58" s="1684"/>
      <c r="HQ58" s="1684"/>
      <c r="HR58" s="1684"/>
      <c r="HS58" s="1684"/>
      <c r="HT58" s="1684"/>
      <c r="HU58" s="1684"/>
      <c r="HV58" s="1684"/>
      <c r="HW58" s="1684"/>
      <c r="HX58" s="1684"/>
      <c r="HY58" s="1684"/>
      <c r="HZ58" s="1684"/>
      <c r="IA58" s="1684"/>
      <c r="IB58" s="1684"/>
      <c r="IC58" s="1684"/>
      <c r="ID58" s="1684"/>
      <c r="IE58" s="1684"/>
      <c r="IF58" s="1684"/>
      <c r="IG58" s="1684"/>
      <c r="IH58" s="1684"/>
      <c r="II58" s="1684"/>
      <c r="IJ58" s="1684"/>
      <c r="IK58" s="1684"/>
      <c r="IL58" s="1684"/>
      <c r="IM58" s="1684"/>
      <c r="IN58" s="1684"/>
      <c r="IO58" s="1684"/>
      <c r="IP58" s="1684"/>
      <c r="IQ58" s="1684"/>
      <c r="IR58" s="1684"/>
      <c r="IS58" s="1684"/>
      <c r="IT58" s="1684"/>
      <c r="IU58" s="1684"/>
      <c r="IV58" s="1684"/>
    </row>
    <row r="59" spans="1:256" ht="18" customHeight="1">
      <c r="A59" s="1684"/>
      <c r="B59" s="1629"/>
      <c r="C59" s="1297"/>
      <c r="D59" s="1630"/>
      <c r="E59" s="1733" t="s">
        <v>975</v>
      </c>
      <c r="F59" s="1732"/>
      <c r="G59" s="1637"/>
      <c r="H59" s="1729"/>
      <c r="I59" s="1655">
        <f>CO2データ!I155</f>
        <v>1163</v>
      </c>
      <c r="J59" s="1655">
        <f>CO2データ!I154</f>
        <v>1343</v>
      </c>
      <c r="K59" s="1638" t="e">
        <f>K55</f>
        <v>#VALUE!</v>
      </c>
      <c r="L59" s="1645"/>
      <c r="M59" s="1655" t="e">
        <f>J59*K59</f>
        <v>#VALUE!</v>
      </c>
      <c r="N59" s="1645"/>
      <c r="O59" s="1298"/>
      <c r="P59" s="1731" t="e">
        <f>I59*K59</f>
        <v>#VALUE!</v>
      </c>
      <c r="Q59" s="1684"/>
      <c r="R59" s="1684"/>
      <c r="S59" s="1684"/>
      <c r="T59" s="1684"/>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V59" s="1684"/>
      <c r="AW59" s="1684"/>
      <c r="AX59" s="1684"/>
      <c r="AY59" s="1684"/>
      <c r="AZ59" s="1684"/>
      <c r="BA59" s="1684"/>
      <c r="BB59" s="1684"/>
      <c r="BC59" s="1684"/>
      <c r="BD59" s="1684"/>
      <c r="BE59" s="1684"/>
      <c r="BF59" s="1684"/>
      <c r="BG59" s="1684"/>
      <c r="BH59" s="1684"/>
      <c r="BI59" s="1684"/>
      <c r="BJ59" s="1684"/>
      <c r="BK59" s="1684"/>
      <c r="BL59" s="1684"/>
      <c r="BM59" s="1684"/>
      <c r="BN59" s="1684"/>
      <c r="BO59" s="1684"/>
      <c r="BP59" s="1684"/>
      <c r="BQ59" s="1684"/>
      <c r="BR59" s="1684"/>
      <c r="BS59" s="1684"/>
      <c r="BT59" s="1684"/>
      <c r="BU59" s="1684"/>
      <c r="BV59" s="1684"/>
      <c r="BW59" s="1684"/>
      <c r="BX59" s="1684"/>
      <c r="BY59" s="1684"/>
      <c r="BZ59" s="1684"/>
      <c r="CA59" s="1684"/>
      <c r="CB59" s="1684"/>
      <c r="CC59" s="1684"/>
      <c r="CD59" s="1684"/>
      <c r="CE59" s="1684"/>
      <c r="CF59" s="1684"/>
      <c r="CG59" s="1684"/>
      <c r="CH59" s="1684"/>
      <c r="CI59" s="1684"/>
      <c r="CJ59" s="1684"/>
      <c r="CK59" s="1684"/>
      <c r="CL59" s="1684"/>
      <c r="CM59" s="1684"/>
      <c r="CN59" s="1684"/>
      <c r="CO59" s="1684"/>
      <c r="CP59" s="1684"/>
      <c r="CQ59" s="1684"/>
      <c r="CR59" s="1684"/>
      <c r="CS59" s="1684"/>
      <c r="CT59" s="1684"/>
      <c r="CU59" s="1684"/>
      <c r="CV59" s="1684"/>
      <c r="CW59" s="1684"/>
      <c r="CX59" s="1684"/>
      <c r="CY59" s="1684"/>
      <c r="CZ59" s="1684"/>
      <c r="DA59" s="1684"/>
      <c r="DB59" s="1684"/>
      <c r="DC59" s="1684"/>
      <c r="DD59" s="1684"/>
      <c r="DE59" s="1684"/>
      <c r="DF59" s="1684"/>
      <c r="DG59" s="1684"/>
      <c r="DH59" s="1684"/>
      <c r="DI59" s="1684"/>
      <c r="DJ59" s="1684"/>
      <c r="DK59" s="1684"/>
      <c r="DL59" s="1684"/>
      <c r="DM59" s="1684"/>
      <c r="DN59" s="1684"/>
      <c r="DO59" s="1684"/>
      <c r="DP59" s="1684"/>
      <c r="DQ59" s="1684"/>
      <c r="DR59" s="1684"/>
      <c r="DS59" s="1684"/>
      <c r="DT59" s="1684"/>
      <c r="DU59" s="1684"/>
      <c r="DV59" s="1684"/>
      <c r="DW59" s="1684"/>
      <c r="DX59" s="1684"/>
      <c r="DY59" s="1684"/>
      <c r="DZ59" s="1684"/>
      <c r="EA59" s="1684"/>
      <c r="EB59" s="1684"/>
      <c r="EC59" s="1684"/>
      <c r="ED59" s="1684"/>
      <c r="EE59" s="1684"/>
      <c r="EF59" s="1684"/>
      <c r="EG59" s="1684"/>
      <c r="EH59" s="1684"/>
      <c r="EI59" s="1684"/>
      <c r="EJ59" s="1684"/>
      <c r="EK59" s="1684"/>
      <c r="EL59" s="1684"/>
      <c r="EM59" s="1684"/>
      <c r="EN59" s="1684"/>
      <c r="EO59" s="1684"/>
      <c r="EP59" s="1684"/>
      <c r="EQ59" s="1684"/>
      <c r="ER59" s="1684"/>
      <c r="ES59" s="1684"/>
      <c r="ET59" s="1684"/>
      <c r="EU59" s="1684"/>
      <c r="EV59" s="1684"/>
      <c r="EW59" s="1684"/>
      <c r="EX59" s="1684"/>
      <c r="EY59" s="1684"/>
      <c r="EZ59" s="1684"/>
      <c r="FA59" s="1684"/>
      <c r="FB59" s="1684"/>
      <c r="FC59" s="1684"/>
      <c r="FD59" s="1684"/>
      <c r="FE59" s="1684"/>
      <c r="FF59" s="1684"/>
      <c r="FG59" s="1684"/>
      <c r="FH59" s="1684"/>
      <c r="FI59" s="1684"/>
      <c r="FJ59" s="1684"/>
      <c r="FK59" s="1684"/>
      <c r="FL59" s="1684"/>
      <c r="FM59" s="1684"/>
      <c r="FN59" s="1684"/>
      <c r="FO59" s="1684"/>
      <c r="FP59" s="1684"/>
      <c r="FQ59" s="1684"/>
      <c r="FR59" s="1684"/>
      <c r="FS59" s="1684"/>
      <c r="FT59" s="1684"/>
      <c r="FU59" s="1684"/>
      <c r="FV59" s="1684"/>
      <c r="FW59" s="1684"/>
      <c r="FX59" s="1684"/>
      <c r="FY59" s="1684"/>
      <c r="FZ59" s="1684"/>
      <c r="GA59" s="1684"/>
      <c r="GB59" s="1684"/>
      <c r="GC59" s="1684"/>
      <c r="GD59" s="1684"/>
      <c r="GE59" s="1684"/>
      <c r="GF59" s="1684"/>
      <c r="GG59" s="1684"/>
      <c r="GH59" s="1684"/>
      <c r="GI59" s="1684"/>
      <c r="GJ59" s="1684"/>
      <c r="GK59" s="1684"/>
      <c r="GL59" s="1684"/>
      <c r="GM59" s="1684"/>
      <c r="GN59" s="1684"/>
      <c r="GO59" s="1684"/>
      <c r="GP59" s="1684"/>
      <c r="GQ59" s="1684"/>
      <c r="GR59" s="1684"/>
      <c r="GS59" s="1684"/>
      <c r="GT59" s="1684"/>
      <c r="GU59" s="1684"/>
      <c r="GV59" s="1684"/>
      <c r="GW59" s="1684"/>
      <c r="GX59" s="1684"/>
      <c r="GY59" s="1684"/>
      <c r="GZ59" s="1684"/>
      <c r="HA59" s="1684"/>
      <c r="HB59" s="1684"/>
      <c r="HC59" s="1684"/>
      <c r="HD59" s="1684"/>
      <c r="HE59" s="1684"/>
      <c r="HF59" s="1684"/>
      <c r="HG59" s="1684"/>
      <c r="HH59" s="1684"/>
      <c r="HI59" s="1684"/>
      <c r="HJ59" s="1684"/>
      <c r="HK59" s="1684"/>
      <c r="HL59" s="1684"/>
      <c r="HM59" s="1684"/>
      <c r="HN59" s="1684"/>
      <c r="HO59" s="1684"/>
      <c r="HP59" s="1684"/>
      <c r="HQ59" s="1684"/>
      <c r="HR59" s="1684"/>
      <c r="HS59" s="1684"/>
      <c r="HT59" s="1684"/>
      <c r="HU59" s="1684"/>
      <c r="HV59" s="1684"/>
      <c r="HW59" s="1684"/>
      <c r="HX59" s="1684"/>
      <c r="HY59" s="1684"/>
      <c r="HZ59" s="1684"/>
      <c r="IA59" s="1684"/>
      <c r="IB59" s="1684"/>
      <c r="IC59" s="1684"/>
      <c r="ID59" s="1684"/>
      <c r="IE59" s="1684"/>
      <c r="IF59" s="1684"/>
      <c r="IG59" s="1684"/>
      <c r="IH59" s="1684"/>
      <c r="II59" s="1684"/>
      <c r="IJ59" s="1684"/>
      <c r="IK59" s="1684"/>
      <c r="IL59" s="1684"/>
      <c r="IM59" s="1684"/>
      <c r="IN59" s="1684"/>
      <c r="IO59" s="1684"/>
      <c r="IP59" s="1684"/>
      <c r="IQ59" s="1684"/>
      <c r="IR59" s="1684"/>
      <c r="IS59" s="1684"/>
      <c r="IT59" s="1684"/>
      <c r="IU59" s="1684"/>
      <c r="IV59" s="1684"/>
    </row>
    <row r="60" spans="1:256" ht="18" customHeight="1">
      <c r="A60" s="1684"/>
      <c r="B60" s="1629"/>
      <c r="C60" s="1297"/>
      <c r="D60" s="1630"/>
      <c r="E60" s="1637"/>
      <c r="F60" s="1642"/>
      <c r="G60" s="1637"/>
      <c r="H60" s="1643"/>
      <c r="I60" s="1644"/>
      <c r="J60" s="1637"/>
      <c r="K60" s="1645"/>
      <c r="L60" s="1645"/>
      <c r="M60" s="1645"/>
      <c r="N60" s="1645"/>
      <c r="O60" s="1298"/>
      <c r="P60" s="1635"/>
      <c r="Q60" s="1684"/>
      <c r="R60" s="1684"/>
      <c r="S60" s="1684"/>
      <c r="T60" s="1684"/>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D60" s="1684"/>
      <c r="BE60" s="1684"/>
      <c r="BF60" s="1684"/>
      <c r="BG60" s="1684"/>
      <c r="BH60" s="1684"/>
      <c r="BI60" s="1684"/>
      <c r="BJ60" s="1684"/>
      <c r="BK60" s="1684"/>
      <c r="BL60" s="1684"/>
      <c r="BM60" s="1684"/>
      <c r="BN60" s="1684"/>
      <c r="BO60" s="1684"/>
      <c r="BP60" s="1684"/>
      <c r="BQ60" s="1684"/>
      <c r="BR60" s="1684"/>
      <c r="BS60" s="1684"/>
      <c r="BT60" s="1684"/>
      <c r="BU60" s="1684"/>
      <c r="BV60" s="1684"/>
      <c r="BW60" s="1684"/>
      <c r="BX60" s="1684"/>
      <c r="BY60" s="1684"/>
      <c r="BZ60" s="1684"/>
      <c r="CA60" s="1684"/>
      <c r="CB60" s="1684"/>
      <c r="CC60" s="1684"/>
      <c r="CD60" s="1684"/>
      <c r="CE60" s="1684"/>
      <c r="CF60" s="1684"/>
      <c r="CG60" s="1684"/>
      <c r="CH60" s="1684"/>
      <c r="CI60" s="1684"/>
      <c r="CJ60" s="1684"/>
      <c r="CK60" s="1684"/>
      <c r="CL60" s="1684"/>
      <c r="CM60" s="1684"/>
      <c r="CN60" s="1684"/>
      <c r="CO60" s="1684"/>
      <c r="CP60" s="1684"/>
      <c r="CQ60" s="1684"/>
      <c r="CR60" s="1684"/>
      <c r="CS60" s="1684"/>
      <c r="CT60" s="1684"/>
      <c r="CU60" s="1684"/>
      <c r="CV60" s="1684"/>
      <c r="CW60" s="1684"/>
      <c r="CX60" s="1684"/>
      <c r="CY60" s="1684"/>
      <c r="CZ60" s="1684"/>
      <c r="DA60" s="1684"/>
      <c r="DB60" s="1684"/>
      <c r="DC60" s="1684"/>
      <c r="DD60" s="1684"/>
      <c r="DE60" s="1684"/>
      <c r="DF60" s="1684"/>
      <c r="DG60" s="1684"/>
      <c r="DH60" s="1684"/>
      <c r="DI60" s="1684"/>
      <c r="DJ60" s="1684"/>
      <c r="DK60" s="1684"/>
      <c r="DL60" s="1684"/>
      <c r="DM60" s="1684"/>
      <c r="DN60" s="1684"/>
      <c r="DO60" s="1684"/>
      <c r="DP60" s="1684"/>
      <c r="DQ60" s="1684"/>
      <c r="DR60" s="1684"/>
      <c r="DS60" s="1684"/>
      <c r="DT60" s="1684"/>
      <c r="DU60" s="1684"/>
      <c r="DV60" s="1684"/>
      <c r="DW60" s="1684"/>
      <c r="DX60" s="1684"/>
      <c r="DY60" s="1684"/>
      <c r="DZ60" s="1684"/>
      <c r="EA60" s="1684"/>
      <c r="EB60" s="1684"/>
      <c r="EC60" s="1684"/>
      <c r="ED60" s="1684"/>
      <c r="EE60" s="1684"/>
      <c r="EF60" s="1684"/>
      <c r="EG60" s="1684"/>
      <c r="EH60" s="1684"/>
      <c r="EI60" s="1684"/>
      <c r="EJ60" s="1684"/>
      <c r="EK60" s="1684"/>
      <c r="EL60" s="1684"/>
      <c r="EM60" s="1684"/>
      <c r="EN60" s="1684"/>
      <c r="EO60" s="1684"/>
      <c r="EP60" s="1684"/>
      <c r="EQ60" s="1684"/>
      <c r="ER60" s="1684"/>
      <c r="ES60" s="1684"/>
      <c r="ET60" s="1684"/>
      <c r="EU60" s="1684"/>
      <c r="EV60" s="1684"/>
      <c r="EW60" s="1684"/>
      <c r="EX60" s="1684"/>
      <c r="EY60" s="1684"/>
      <c r="EZ60" s="1684"/>
      <c r="FA60" s="1684"/>
      <c r="FB60" s="1684"/>
      <c r="FC60" s="1684"/>
      <c r="FD60" s="1684"/>
      <c r="FE60" s="1684"/>
      <c r="FF60" s="1684"/>
      <c r="FG60" s="1684"/>
      <c r="FH60" s="1684"/>
      <c r="FI60" s="1684"/>
      <c r="FJ60" s="1684"/>
      <c r="FK60" s="1684"/>
      <c r="FL60" s="1684"/>
      <c r="FM60" s="1684"/>
      <c r="FN60" s="1684"/>
      <c r="FO60" s="1684"/>
      <c r="FP60" s="1684"/>
      <c r="FQ60" s="1684"/>
      <c r="FR60" s="1684"/>
      <c r="FS60" s="1684"/>
      <c r="FT60" s="1684"/>
      <c r="FU60" s="1684"/>
      <c r="FV60" s="1684"/>
      <c r="FW60" s="1684"/>
      <c r="FX60" s="1684"/>
      <c r="FY60" s="1684"/>
      <c r="FZ60" s="1684"/>
      <c r="GA60" s="1684"/>
      <c r="GB60" s="1684"/>
      <c r="GC60" s="1684"/>
      <c r="GD60" s="1684"/>
      <c r="GE60" s="1684"/>
      <c r="GF60" s="1684"/>
      <c r="GG60" s="1684"/>
      <c r="GH60" s="1684"/>
      <c r="GI60" s="1684"/>
      <c r="GJ60" s="1684"/>
      <c r="GK60" s="1684"/>
      <c r="GL60" s="1684"/>
      <c r="GM60" s="1684"/>
      <c r="GN60" s="1684"/>
      <c r="GO60" s="1684"/>
      <c r="GP60" s="1684"/>
      <c r="GQ60" s="1684"/>
      <c r="GR60" s="1684"/>
      <c r="GS60" s="1684"/>
      <c r="GT60" s="1684"/>
      <c r="GU60" s="1684"/>
      <c r="GV60" s="1684"/>
      <c r="GW60" s="1684"/>
      <c r="GX60" s="1684"/>
      <c r="GY60" s="1684"/>
      <c r="GZ60" s="1684"/>
      <c r="HA60" s="1684"/>
      <c r="HB60" s="1684"/>
      <c r="HC60" s="1684"/>
      <c r="HD60" s="1684"/>
      <c r="HE60" s="1684"/>
      <c r="HF60" s="1684"/>
      <c r="HG60" s="1684"/>
      <c r="HH60" s="1684"/>
      <c r="HI60" s="1684"/>
      <c r="HJ60" s="1684"/>
      <c r="HK60" s="1684"/>
      <c r="HL60" s="1684"/>
      <c r="HM60" s="1684"/>
      <c r="HN60" s="1684"/>
      <c r="HO60" s="1684"/>
      <c r="HP60" s="1684"/>
      <c r="HQ60" s="1684"/>
      <c r="HR60" s="1684"/>
      <c r="HS60" s="1684"/>
      <c r="HT60" s="1684"/>
      <c r="HU60" s="1684"/>
      <c r="HV60" s="1684"/>
      <c r="HW60" s="1684"/>
      <c r="HX60" s="1684"/>
      <c r="HY60" s="1684"/>
      <c r="HZ60" s="1684"/>
      <c r="IA60" s="1684"/>
      <c r="IB60" s="1684"/>
      <c r="IC60" s="1684"/>
      <c r="ID60" s="1684"/>
      <c r="IE60" s="1684"/>
      <c r="IF60" s="1684"/>
      <c r="IG60" s="1684"/>
      <c r="IH60" s="1684"/>
      <c r="II60" s="1684"/>
      <c r="IJ60" s="1684"/>
      <c r="IK60" s="1684"/>
      <c r="IL60" s="1684"/>
      <c r="IM60" s="1684"/>
      <c r="IN60" s="1684"/>
      <c r="IO60" s="1684"/>
      <c r="IP60" s="1684"/>
      <c r="IQ60" s="1684"/>
      <c r="IR60" s="1684"/>
      <c r="IS60" s="1684"/>
      <c r="IT60" s="1684"/>
      <c r="IU60" s="1684"/>
      <c r="IV60" s="1684"/>
    </row>
    <row r="61" spans="1:256" ht="18" customHeight="1">
      <c r="A61"/>
      <c r="B61" s="1629"/>
      <c r="C61" s="1297"/>
      <c r="D61" s="1630"/>
      <c r="E61" s="1637"/>
      <c r="F61" s="1150" t="s">
        <v>582</v>
      </c>
      <c r="G61" s="1151" t="s">
        <v>583</v>
      </c>
      <c r="H61" s="1646"/>
      <c r="I61" s="1150" t="s">
        <v>584</v>
      </c>
      <c r="J61" s="1150" t="s">
        <v>223</v>
      </c>
      <c r="K61" s="1150" t="s">
        <v>585</v>
      </c>
      <c r="L61" s="1647" t="s">
        <v>586</v>
      </c>
      <c r="M61" s="1150" t="s">
        <v>587</v>
      </c>
      <c r="N61" s="1645"/>
      <c r="O61" s="1647" t="s">
        <v>588</v>
      </c>
      <c r="P61" s="1152" t="s">
        <v>587</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1629"/>
      <c r="C62" s="1297"/>
      <c r="D62" s="1648" t="s">
        <v>974</v>
      </c>
      <c r="E62" s="1637"/>
      <c r="F62" s="1154">
        <v>1.1499999999999999</v>
      </c>
      <c r="G62" s="1649" t="s">
        <v>411</v>
      </c>
      <c r="H62" s="1650"/>
      <c r="I62" s="1154">
        <v>1</v>
      </c>
      <c r="J62" s="1154">
        <v>0.85</v>
      </c>
      <c r="K62" s="1154">
        <v>0.7</v>
      </c>
      <c r="L62" s="1651">
        <f>スコア!O57</f>
        <v>3</v>
      </c>
      <c r="M62" s="1652">
        <f>IF(L62&gt;=5,$K62,IF(L62&gt;=4,$J62,IF(L62&gt;=3,$I62,$F62)))</f>
        <v>1</v>
      </c>
      <c r="N62" s="1142"/>
      <c r="O62" s="1651">
        <v>3</v>
      </c>
      <c r="P62" s="1734">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629"/>
      <c r="C63" s="1297"/>
      <c r="D63" s="1648"/>
      <c r="E63" s="1637"/>
      <c r="F63" s="1642"/>
      <c r="G63" s="1637"/>
      <c r="H63" s="1643"/>
      <c r="I63" s="1653" t="s">
        <v>589</v>
      </c>
      <c r="J63" s="1637"/>
      <c r="K63" s="1645"/>
      <c r="L63" s="1636"/>
      <c r="M63" s="1171"/>
      <c r="N63" s="1142"/>
      <c r="O63" s="1298"/>
      <c r="P63" s="1654"/>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629"/>
      <c r="C64" s="1297"/>
      <c r="D64" s="1648"/>
      <c r="E64" s="1637" t="s">
        <v>590</v>
      </c>
      <c r="F64" s="1642"/>
      <c r="G64" s="1637"/>
      <c r="H64" s="1643"/>
      <c r="I64" s="1655">
        <v>0.91</v>
      </c>
      <c r="J64" s="1141" t="s">
        <v>802</v>
      </c>
      <c r="K64" s="1645"/>
      <c r="L64" s="1636"/>
      <c r="M64" s="1655">
        <f>I64*M62</f>
        <v>0.91</v>
      </c>
      <c r="N64" s="1142"/>
      <c r="O64" s="1298"/>
      <c r="P64" s="1656">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c r="A65"/>
      <c r="B65" s="1629"/>
      <c r="C65" s="1297"/>
      <c r="D65" s="1630"/>
      <c r="E65" s="1630"/>
      <c r="F65" s="1630"/>
      <c r="G65" s="1630"/>
      <c r="H65" s="1630"/>
      <c r="I65" s="1630"/>
      <c r="J65" s="1630"/>
      <c r="K65" s="1630"/>
      <c r="L65" s="1630"/>
      <c r="M65" s="1657"/>
      <c r="N65" s="1142"/>
      <c r="O65" s="1298"/>
      <c r="P65" s="163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c r="A66"/>
      <c r="B66" s="1629"/>
      <c r="C66" s="1297"/>
      <c r="D66" s="1658" t="s">
        <v>591</v>
      </c>
      <c r="E66" s="1630"/>
      <c r="F66" s="1630"/>
      <c r="G66" s="1630"/>
      <c r="H66" s="1630"/>
      <c r="I66" s="1150" t="s">
        <v>222</v>
      </c>
      <c r="J66" s="1150" t="s">
        <v>223</v>
      </c>
      <c r="K66" s="1150" t="s">
        <v>224</v>
      </c>
      <c r="L66" s="1647" t="s">
        <v>586</v>
      </c>
      <c r="M66" s="1647" t="s">
        <v>592</v>
      </c>
      <c r="N66" s="1142"/>
      <c r="O66" s="1298"/>
      <c r="P66" s="1635"/>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c r="A67"/>
      <c r="B67" s="1629"/>
      <c r="C67" s="1297"/>
      <c r="D67" s="1630"/>
      <c r="E67" s="1630"/>
      <c r="F67" s="1630"/>
      <c r="G67" s="1630"/>
      <c r="H67" s="1630"/>
      <c r="I67" s="1659">
        <v>1</v>
      </c>
      <c r="J67" s="1660">
        <v>0.97499999999999998</v>
      </c>
      <c r="K67" s="1659">
        <v>0.95</v>
      </c>
      <c r="L67" s="1651"/>
      <c r="M67" s="1661">
        <f>IF(L67&gt;=5,$K67,IF(L67&gt;=4,$J67,$I67))</f>
        <v>1</v>
      </c>
      <c r="N67" s="1142"/>
      <c r="O67" s="1298"/>
      <c r="P67" s="1635"/>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c r="B68" s="1629"/>
      <c r="C68" s="1630"/>
      <c r="D68" s="1630"/>
      <c r="E68" s="1630"/>
      <c r="F68" s="1630"/>
      <c r="G68" s="1630"/>
      <c r="H68" s="1630"/>
      <c r="I68" s="1630"/>
      <c r="J68" s="1630"/>
      <c r="K68" s="1630"/>
      <c r="L68" s="1630"/>
      <c r="M68" s="1162"/>
      <c r="N68" s="1142"/>
      <c r="O68" s="1142"/>
      <c r="P68" s="1230"/>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662"/>
      <c r="C69" s="1297" t="s">
        <v>593</v>
      </c>
      <c r="D69" s="1630"/>
      <c r="E69" s="1630"/>
      <c r="F69" s="1630"/>
      <c r="G69" s="1630"/>
      <c r="H69" s="1630"/>
      <c r="I69" s="1630"/>
      <c r="J69" s="1630"/>
      <c r="K69" s="1630"/>
      <c r="L69" s="1632" t="s">
        <v>927</v>
      </c>
      <c r="M69" s="1663" t="e">
        <f>M73+M64</f>
        <v>#VALUE!</v>
      </c>
      <c r="N69" s="1630"/>
      <c r="O69" s="1630"/>
      <c r="P69" s="1664"/>
      <c r="Q69"/>
      <c r="R69"/>
      <c r="S69" t="s">
        <v>594</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c r="A70"/>
      <c r="B70" s="1662"/>
      <c r="C70" s="1297"/>
      <c r="D70" s="1630"/>
      <c r="E70" s="1630" t="s">
        <v>956</v>
      </c>
      <c r="F70" s="1630"/>
      <c r="G70" s="1630"/>
      <c r="H70" s="1630"/>
      <c r="I70" s="1655">
        <f>IF(採点LR1!H23=0,採点LR1!H21,採点LR1!H21-採点LR1!H23)</f>
        <v>16078</v>
      </c>
      <c r="J70" s="1637" t="s">
        <v>565</v>
      </c>
      <c r="K70" s="1630"/>
      <c r="L70" s="1630"/>
      <c r="M70" s="1630"/>
      <c r="N70" s="1630"/>
      <c r="O70" s="1630"/>
      <c r="P70" s="1664"/>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 r="A71"/>
      <c r="B71" s="1662"/>
      <c r="C71" s="1297"/>
      <c r="D71" s="1630"/>
      <c r="E71" s="1630"/>
      <c r="F71" s="1630"/>
      <c r="G71" s="1630"/>
      <c r="H71" s="1630"/>
      <c r="I71" s="1735"/>
      <c r="J71" s="1643" t="s">
        <v>901</v>
      </c>
      <c r="K71" s="1630" t="s">
        <v>896</v>
      </c>
      <c r="L71" s="1630"/>
      <c r="M71" s="1630"/>
      <c r="N71" s="1630"/>
      <c r="O71" s="1630"/>
      <c r="P71" s="1664"/>
      <c r="Q71"/>
      <c r="R71"/>
      <c r="S71" s="1006" t="s">
        <v>690</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c r="A72"/>
      <c r="B72" s="1662"/>
      <c r="C72" s="1297"/>
      <c r="D72" s="1630"/>
      <c r="E72" s="1630"/>
      <c r="F72" s="1630"/>
      <c r="G72" s="1729" t="s">
        <v>902</v>
      </c>
      <c r="H72" s="1630"/>
      <c r="I72" s="1730"/>
      <c r="J72" s="1730" t="s">
        <v>565</v>
      </c>
      <c r="K72" s="1141" t="s">
        <v>903</v>
      </c>
      <c r="L72" s="1630"/>
      <c r="M72" s="1162" t="s">
        <v>802</v>
      </c>
      <c r="N72" s="1630"/>
      <c r="O72" s="1630"/>
      <c r="P72" s="1664"/>
      <c r="Q72"/>
      <c r="R72"/>
      <c r="S72" s="1006" t="str">
        <f>電気排出係数!D5</f>
        <v>N.A.</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968" customFormat="1" ht="13.5">
      <c r="A73" s="1168"/>
      <c r="B73" s="1236"/>
      <c r="C73" s="1169"/>
      <c r="D73" s="1170"/>
      <c r="E73" s="1630"/>
      <c r="F73" s="1643" t="s">
        <v>900</v>
      </c>
      <c r="G73" s="1655">
        <f>G55</f>
        <v>0</v>
      </c>
      <c r="H73" s="1630"/>
      <c r="I73" s="1730" t="s">
        <v>904</v>
      </c>
      <c r="J73" s="1736">
        <f>IF(採点LR1!J29=採点LR1!T28,IF(採点LR1!H23=0,採点LR1!H19+採点LR1!H20-I70,採点LR1!H22-I70),CO2計算!J59*G73)</f>
        <v>57027</v>
      </c>
      <c r="K73" s="1638" t="e">
        <f>K55</f>
        <v>#VALUE!</v>
      </c>
      <c r="L73" s="1630"/>
      <c r="M73" s="1655" t="e">
        <f>J73*K73/G73</f>
        <v>#VALUE!</v>
      </c>
      <c r="N73" s="1172"/>
      <c r="O73" s="1172"/>
      <c r="P73" s="1299"/>
    </row>
    <row r="74" spans="1:256" s="968" customFormat="1" ht="13.5">
      <c r="A74" s="1168"/>
      <c r="B74" s="1236"/>
      <c r="C74" s="1169"/>
      <c r="D74" s="1170"/>
      <c r="E74" s="1630"/>
      <c r="F74" s="1643"/>
      <c r="G74" s="1735"/>
      <c r="H74" s="1630"/>
      <c r="I74" s="1730"/>
      <c r="J74" s="1737"/>
      <c r="K74" s="1642"/>
      <c r="L74" s="1630"/>
      <c r="M74" s="1735"/>
      <c r="N74" s="1172"/>
      <c r="O74" s="1172"/>
      <c r="P74" s="1299"/>
    </row>
    <row r="75" spans="1:256" ht="17.25" thickBot="1">
      <c r="A75" s="1130"/>
      <c r="B75" s="1629" t="s">
        <v>937</v>
      </c>
      <c r="C75" s="1142"/>
      <c r="D75" s="1141"/>
      <c r="E75" s="1142"/>
      <c r="F75" s="1142"/>
      <c r="G75" s="1159"/>
      <c r="H75" s="1159"/>
      <c r="I75" s="1159"/>
      <c r="J75" s="1159"/>
      <c r="K75" s="1159"/>
      <c r="L75" s="1166"/>
      <c r="M75" s="1162" t="s">
        <v>676</v>
      </c>
      <c r="N75" s="1142"/>
      <c r="O75" s="1142"/>
      <c r="P75" s="1230" t="s">
        <v>676</v>
      </c>
      <c r="S75"/>
    </row>
    <row r="76" spans="1:256" ht="18" customHeight="1">
      <c r="A76" s="1130"/>
      <c r="B76" s="1229"/>
      <c r="C76" s="1142"/>
      <c r="D76" s="1141"/>
      <c r="E76" s="1142"/>
      <c r="F76" s="1142"/>
      <c r="G76" s="1159"/>
      <c r="H76" s="1159"/>
      <c r="I76" s="1159"/>
      <c r="J76" s="1159"/>
      <c r="K76" s="1159"/>
      <c r="L76" s="1166"/>
      <c r="M76" s="1222" t="s">
        <v>396</v>
      </c>
      <c r="N76" s="1142"/>
      <c r="O76" s="1147"/>
      <c r="P76" s="1222" t="s">
        <v>225</v>
      </c>
      <c r="S76" t="s">
        <v>164</v>
      </c>
    </row>
    <row r="77" spans="1:256" ht="18" customHeight="1">
      <c r="A77" s="1130"/>
      <c r="B77" s="1227"/>
      <c r="C77" s="1195" t="s">
        <v>123</v>
      </c>
      <c r="D77" s="1163"/>
      <c r="E77" s="1163"/>
      <c r="F77" s="1163"/>
      <c r="G77" s="1164"/>
      <c r="H77" s="1159"/>
      <c r="I77" s="1159"/>
      <c r="J77" s="1159"/>
      <c r="K77" s="1159"/>
      <c r="L77" s="1166"/>
      <c r="M77" s="1223" t="e">
        <f>M30</f>
        <v>#DIV/0!</v>
      </c>
      <c r="N77" s="1142"/>
      <c r="O77" s="1142"/>
      <c r="P77" s="1223">
        <f>P30</f>
        <v>6.04</v>
      </c>
    </row>
    <row r="78" spans="1:256" ht="18" customHeight="1">
      <c r="A78" s="1130"/>
      <c r="B78" s="1227"/>
      <c r="C78" s="1195" t="s">
        <v>283</v>
      </c>
      <c r="D78" s="1163"/>
      <c r="E78" s="1163"/>
      <c r="F78" s="1163"/>
      <c r="G78" s="1164"/>
      <c r="H78" s="1159"/>
      <c r="I78" s="1159"/>
      <c r="J78" s="1159"/>
      <c r="K78" s="1159"/>
      <c r="L78" s="1166"/>
      <c r="M78" s="1223" t="e">
        <f>M49</f>
        <v>#DIV/0!</v>
      </c>
      <c r="N78" s="1142"/>
      <c r="O78" s="1142"/>
      <c r="P78" s="1223">
        <f>P49</f>
        <v>2.35</v>
      </c>
    </row>
    <row r="79" spans="1:256" ht="18" customHeight="1">
      <c r="A79" s="1130"/>
      <c r="B79" s="1227"/>
      <c r="C79" s="1195" t="s">
        <v>124</v>
      </c>
      <c r="D79" s="1163"/>
      <c r="E79" s="1163"/>
      <c r="F79" s="1163"/>
      <c r="G79" s="1164"/>
      <c r="H79" s="1159"/>
      <c r="I79" s="1159"/>
      <c r="J79" s="1159"/>
      <c r="K79" s="1159"/>
      <c r="L79" s="1166"/>
      <c r="M79" s="1293" t="e">
        <f>M69</f>
        <v>#VALUE!</v>
      </c>
      <c r="N79" s="1142"/>
      <c r="O79" s="1142"/>
      <c r="P79" s="1224" t="e">
        <f>P52</f>
        <v>#VALUE!</v>
      </c>
    </row>
    <row r="80" spans="1:256" ht="18" customHeight="1" thickBot="1">
      <c r="A80" s="1130"/>
      <c r="B80" s="1237"/>
      <c r="C80" s="1238" t="s">
        <v>56</v>
      </c>
      <c r="D80" s="1239"/>
      <c r="E80" s="1240"/>
      <c r="F80" s="1240"/>
      <c r="G80" s="1241"/>
      <c r="H80" s="1242"/>
      <c r="I80" s="1243"/>
      <c r="J80" s="1243"/>
      <c r="K80" s="1243"/>
      <c r="L80" s="1244"/>
      <c r="M80" s="1294" t="e">
        <f>SUM(M77:M79)</f>
        <v>#DIV/0!</v>
      </c>
      <c r="N80" s="1245"/>
      <c r="O80" s="1245"/>
      <c r="P80" s="1225" t="e">
        <f>IF(COUNTIF(P77:P79,$S$76)&gt;0,$S$76,SUM(P77:P79))</f>
        <v>#VALUE!</v>
      </c>
    </row>
    <row r="81" spans="1:16" ht="11.25" customHeight="1">
      <c r="A81" s="1130"/>
      <c r="B81" s="1131"/>
      <c r="C81" s="1130"/>
      <c r="D81" s="1132"/>
      <c r="E81" s="1130"/>
      <c r="F81" s="1130"/>
      <c r="G81" s="1131"/>
      <c r="H81" s="1131"/>
      <c r="I81" s="1131"/>
      <c r="J81" s="1131"/>
      <c r="K81" s="1131"/>
      <c r="L81" s="1133"/>
      <c r="M81" s="1130"/>
      <c r="N81" s="1130"/>
      <c r="O81" s="1130"/>
      <c r="P81" s="1130"/>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sheetProtection password="CC47" sheet="1" objects="1" scenarios="1"/>
  <mergeCells count="8">
    <mergeCell ref="L35:M35"/>
    <mergeCell ref="O35:P35"/>
    <mergeCell ref="L20:M20"/>
    <mergeCell ref="B3:F3"/>
    <mergeCell ref="L2:M2"/>
    <mergeCell ref="L3:M3"/>
    <mergeCell ref="L9:M9"/>
    <mergeCell ref="O9:P9"/>
  </mergeCells>
  <phoneticPr fontId="4"/>
  <conditionalFormatting sqref="F79 F77 S77:S65556 Q33:Q34 I35 I7 Q11:Q17 I9 Q7:Q8 R7:IV17 Q5:IV6 Q51:IV51 Q73:R65556 T73:IV65556 G19 G30:G31 Q18:IV32 G49:G50 Q37:Q50 R33:IV50">
    <cfRule type="cellIs" dxfId="14" priority="5" stopIfTrue="1" operator="equal">
      <formula>5</formula>
    </cfRule>
    <cfRule type="cellIs" dxfId="13" priority="6" stopIfTrue="1" operator="equal">
      <formula>4</formula>
    </cfRule>
    <cfRule type="cellIs" dxfId="12" priority="7" stopIfTrue="1" operator="equal">
      <formula>2</formula>
    </cfRule>
  </conditionalFormatting>
  <conditionalFormatting sqref="I20">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1" fitToHeight="0" orientation="portrait" horizontalDpi="300"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XDR172"/>
  <sheetViews>
    <sheetView showGridLines="0" zoomScaleNormal="100" zoomScaleSheetLayoutView="85" workbookViewId="0">
      <selection activeCell="J98" sqref="J98"/>
    </sheetView>
  </sheetViews>
  <sheetFormatPr defaultColWidth="0" defaultRowHeight="12.75" customHeight="1" zeroHeight="1"/>
  <cols>
    <col min="1" max="1" width="2.875" style="1935" customWidth="1"/>
    <col min="2" max="2" width="2.625" style="1937" customWidth="1"/>
    <col min="3" max="3" width="18" style="1937" customWidth="1"/>
    <col min="4" max="4" width="9.25" style="1937" customWidth="1"/>
    <col min="5" max="5" width="13.75" style="1937" customWidth="1"/>
    <col min="6" max="6" width="6.875" style="1937" customWidth="1"/>
    <col min="7" max="7" width="5.5" style="1937" customWidth="1"/>
    <col min="8" max="8" width="7.375" style="1937" customWidth="1"/>
    <col min="9" max="9" width="11" style="1937" customWidth="1"/>
    <col min="10" max="10" width="12.25" style="1937" customWidth="1"/>
    <col min="11" max="11" width="12.5" style="1937" customWidth="1"/>
    <col min="12" max="12" width="12.25" style="1937" customWidth="1"/>
    <col min="13" max="13" width="5.25" style="1937" customWidth="1"/>
    <col min="14" max="14" width="7.5" style="1937" customWidth="1"/>
    <col min="15" max="15" width="1.75" style="1935" customWidth="1"/>
    <col min="16" max="16" width="1.75" style="1936" customWidth="1"/>
    <col min="17" max="17" width="6.375" style="45" hidden="1"/>
    <col min="18" max="18" width="18" style="45" hidden="1"/>
    <col min="19" max="19" width="6.625" style="1935" hidden="1"/>
    <col min="20" max="20" width="5.5" style="1935" hidden="1"/>
    <col min="21" max="21" width="7.375" style="1935" hidden="1"/>
    <col min="22" max="22" width="11" style="2046" hidden="1"/>
    <col min="23" max="218" width="10.625" style="1937" hidden="1"/>
    <col min="219" max="256" width="9" style="1937" hidden="1"/>
    <col min="257" max="257" width="2.875" style="1937" hidden="1"/>
    <col min="258" max="258" width="2.625" style="1937" hidden="1"/>
    <col min="259" max="259" width="18" style="1937" hidden="1"/>
    <col min="260" max="260" width="9.25" style="1937" hidden="1"/>
    <col min="261" max="261" width="13.75" style="1937" hidden="1"/>
    <col min="262" max="262" width="6.875" style="1937" hidden="1"/>
    <col min="263" max="263" width="5.5" style="1937" hidden="1"/>
    <col min="264" max="264" width="7.375" style="1937" hidden="1"/>
    <col min="265" max="265" width="11" style="1937" hidden="1"/>
    <col min="266" max="266" width="12.25" style="1937" hidden="1"/>
    <col min="267" max="267" width="12.5" style="1937" hidden="1"/>
    <col min="268" max="268" width="12.25" style="1937" hidden="1"/>
    <col min="269" max="269" width="5.25" style="1937" hidden="1"/>
    <col min="270" max="270" width="7.5" style="1937" hidden="1"/>
    <col min="271" max="272" width="1.75" style="1937" hidden="1"/>
    <col min="273" max="275" width="0" style="1937" hidden="1"/>
    <col min="276" max="276" width="5.5" style="1937" hidden="1"/>
    <col min="277" max="277" width="7.375" style="1937" hidden="1"/>
    <col min="278" max="278" width="11" style="1937" hidden="1"/>
    <col min="279" max="474" width="10.625" style="1937" hidden="1"/>
    <col min="475" max="512" width="9" style="1937" hidden="1"/>
    <col min="513" max="513" width="2.875" style="1937" hidden="1"/>
    <col min="514" max="514" width="2.625" style="1937" hidden="1"/>
    <col min="515" max="515" width="18" style="1937" hidden="1"/>
    <col min="516" max="516" width="9.25" style="1937" hidden="1"/>
    <col min="517" max="517" width="13.75" style="1937" hidden="1"/>
    <col min="518" max="518" width="6.875" style="1937" hidden="1"/>
    <col min="519" max="519" width="5.5" style="1937" hidden="1"/>
    <col min="520" max="520" width="7.375" style="1937" hidden="1"/>
    <col min="521" max="521" width="11" style="1937" hidden="1"/>
    <col min="522" max="522" width="12.25" style="1937" hidden="1"/>
    <col min="523" max="523" width="12.5" style="1937" hidden="1"/>
    <col min="524" max="524" width="12.25" style="1937" hidden="1"/>
    <col min="525" max="525" width="5.25" style="1937" hidden="1"/>
    <col min="526" max="526" width="7.5" style="1937" hidden="1"/>
    <col min="527" max="528" width="1.75" style="1937" hidden="1"/>
    <col min="529" max="531" width="0" style="1937" hidden="1"/>
    <col min="532" max="532" width="5.5" style="1937" hidden="1"/>
    <col min="533" max="533" width="7.375" style="1937" hidden="1"/>
    <col min="534" max="534" width="11" style="1937" hidden="1"/>
    <col min="535" max="730" width="10.625" style="1937" hidden="1"/>
    <col min="731" max="768" width="9" style="1937" hidden="1"/>
    <col min="769" max="769" width="2.875" style="1937" hidden="1"/>
    <col min="770" max="770" width="2.625" style="1937" hidden="1"/>
    <col min="771" max="771" width="18" style="1937" hidden="1"/>
    <col min="772" max="772" width="9.25" style="1937" hidden="1"/>
    <col min="773" max="773" width="13.75" style="1937" hidden="1"/>
    <col min="774" max="774" width="6.875" style="1937" hidden="1"/>
    <col min="775" max="775" width="5.5" style="1937" hidden="1"/>
    <col min="776" max="776" width="7.375" style="1937" hidden="1"/>
    <col min="777" max="777" width="11" style="1937" hidden="1"/>
    <col min="778" max="778" width="12.25" style="1937" hidden="1"/>
    <col min="779" max="779" width="12.5" style="1937" hidden="1"/>
    <col min="780" max="780" width="12.25" style="1937" hidden="1"/>
    <col min="781" max="781" width="5.25" style="1937" hidden="1"/>
    <col min="782" max="782" width="7.5" style="1937" hidden="1"/>
    <col min="783" max="784" width="1.75" style="1937" hidden="1"/>
    <col min="785" max="787" width="0" style="1937" hidden="1"/>
    <col min="788" max="788" width="5.5" style="1937" hidden="1"/>
    <col min="789" max="789" width="7.375" style="1937" hidden="1"/>
    <col min="790" max="790" width="11" style="1937" hidden="1"/>
    <col min="791" max="986" width="10.625" style="1937" hidden="1"/>
    <col min="987" max="1024" width="9" style="1937" hidden="1"/>
    <col min="1025" max="1025" width="2.875" style="1937" hidden="1"/>
    <col min="1026" max="1026" width="2.625" style="1937" hidden="1"/>
    <col min="1027" max="1027" width="18" style="1937" hidden="1"/>
    <col min="1028" max="1028" width="9.25" style="1937" hidden="1"/>
    <col min="1029" max="1029" width="13.75" style="1937" hidden="1"/>
    <col min="1030" max="1030" width="6.875" style="1937" hidden="1"/>
    <col min="1031" max="1031" width="5.5" style="1937" hidden="1"/>
    <col min="1032" max="1032" width="7.375" style="1937" hidden="1"/>
    <col min="1033" max="1033" width="11" style="1937" hidden="1"/>
    <col min="1034" max="1034" width="12.25" style="1937" hidden="1"/>
    <col min="1035" max="1035" width="12.5" style="1937" hidden="1"/>
    <col min="1036" max="1036" width="12.25" style="1937" hidden="1"/>
    <col min="1037" max="1037" width="5.25" style="1937" hidden="1"/>
    <col min="1038" max="1038" width="7.5" style="1937" hidden="1"/>
    <col min="1039" max="1040" width="1.75" style="1937" hidden="1"/>
    <col min="1041" max="1043" width="0" style="1937" hidden="1"/>
    <col min="1044" max="1044" width="5.5" style="1937" hidden="1"/>
    <col min="1045" max="1045" width="7.375" style="1937" hidden="1"/>
    <col min="1046" max="1046" width="11" style="1937" hidden="1"/>
    <col min="1047" max="1242" width="10.625" style="1937" hidden="1"/>
    <col min="1243" max="1280" width="9" style="1937" hidden="1"/>
    <col min="1281" max="1281" width="2.875" style="1937" hidden="1"/>
    <col min="1282" max="1282" width="2.625" style="1937" hidden="1"/>
    <col min="1283" max="1283" width="18" style="1937" hidden="1"/>
    <col min="1284" max="1284" width="9.25" style="1937" hidden="1"/>
    <col min="1285" max="1285" width="13.75" style="1937" hidden="1"/>
    <col min="1286" max="1286" width="6.875" style="1937" hidden="1"/>
    <col min="1287" max="1287" width="5.5" style="1937" hidden="1"/>
    <col min="1288" max="1288" width="7.375" style="1937" hidden="1"/>
    <col min="1289" max="1289" width="11" style="1937" hidden="1"/>
    <col min="1290" max="1290" width="12.25" style="1937" hidden="1"/>
    <col min="1291" max="1291" width="12.5" style="1937" hidden="1"/>
    <col min="1292" max="1292" width="12.25" style="1937" hidden="1"/>
    <col min="1293" max="1293" width="5.25" style="1937" hidden="1"/>
    <col min="1294" max="1294" width="7.5" style="1937" hidden="1"/>
    <col min="1295" max="1296" width="1.75" style="1937" hidden="1"/>
    <col min="1297" max="1299" width="0" style="1937" hidden="1"/>
    <col min="1300" max="1300" width="5.5" style="1937" hidden="1"/>
    <col min="1301" max="1301" width="7.375" style="1937" hidden="1"/>
    <col min="1302" max="1302" width="11" style="1937" hidden="1"/>
    <col min="1303" max="1498" width="10.625" style="1937" hidden="1"/>
    <col min="1499" max="1536" width="9" style="1937" hidden="1"/>
    <col min="1537" max="1537" width="2.875" style="1937" hidden="1"/>
    <col min="1538" max="1538" width="2.625" style="1937" hidden="1"/>
    <col min="1539" max="1539" width="18" style="1937" hidden="1"/>
    <col min="1540" max="1540" width="9.25" style="1937" hidden="1"/>
    <col min="1541" max="1541" width="13.75" style="1937" hidden="1"/>
    <col min="1542" max="1542" width="6.875" style="1937" hidden="1"/>
    <col min="1543" max="1543" width="5.5" style="1937" hidden="1"/>
    <col min="1544" max="1544" width="7.375" style="1937" hidden="1"/>
    <col min="1545" max="1545" width="11" style="1937" hidden="1"/>
    <col min="1546" max="1546" width="12.25" style="1937" hidden="1"/>
    <col min="1547" max="1547" width="12.5" style="1937" hidden="1"/>
    <col min="1548" max="1548" width="12.25" style="1937" hidden="1"/>
    <col min="1549" max="1549" width="5.25" style="1937" hidden="1"/>
    <col min="1550" max="1550" width="7.5" style="1937" hidden="1"/>
    <col min="1551" max="1552" width="1.75" style="1937" hidden="1"/>
    <col min="1553" max="1555" width="0" style="1937" hidden="1"/>
    <col min="1556" max="1556" width="5.5" style="1937" hidden="1"/>
    <col min="1557" max="1557" width="7.375" style="1937" hidden="1"/>
    <col min="1558" max="1558" width="11" style="1937" hidden="1"/>
    <col min="1559" max="1754" width="10.625" style="1937" hidden="1"/>
    <col min="1755" max="1792" width="9" style="1937" hidden="1"/>
    <col min="1793" max="1793" width="2.875" style="1937" hidden="1"/>
    <col min="1794" max="1794" width="2.625" style="1937" hidden="1"/>
    <col min="1795" max="1795" width="18" style="1937" hidden="1"/>
    <col min="1796" max="1796" width="9.25" style="1937" hidden="1"/>
    <col min="1797" max="1797" width="13.75" style="1937" hidden="1"/>
    <col min="1798" max="1798" width="6.875" style="1937" hidden="1"/>
    <col min="1799" max="1799" width="5.5" style="1937" hidden="1"/>
    <col min="1800" max="1800" width="7.375" style="1937" hidden="1"/>
    <col min="1801" max="1801" width="11" style="1937" hidden="1"/>
    <col min="1802" max="1802" width="12.25" style="1937" hidden="1"/>
    <col min="1803" max="1803" width="12.5" style="1937" hidden="1"/>
    <col min="1804" max="1804" width="12.25" style="1937" hidden="1"/>
    <col min="1805" max="1805" width="5.25" style="1937" hidden="1"/>
    <col min="1806" max="1806" width="7.5" style="1937" hidden="1"/>
    <col min="1807" max="1808" width="1.75" style="1937" hidden="1"/>
    <col min="1809" max="1811" width="0" style="1937" hidden="1"/>
    <col min="1812" max="1812" width="5.5" style="1937" hidden="1"/>
    <col min="1813" max="1813" width="7.375" style="1937" hidden="1"/>
    <col min="1814" max="1814" width="11" style="1937" hidden="1"/>
    <col min="1815" max="2010" width="10.625" style="1937" hidden="1"/>
    <col min="2011" max="2048" width="9" style="1937" hidden="1"/>
    <col min="2049" max="2049" width="2.875" style="1937" hidden="1"/>
    <col min="2050" max="2050" width="2.625" style="1937" hidden="1"/>
    <col min="2051" max="2051" width="18" style="1937" hidden="1"/>
    <col min="2052" max="2052" width="9.25" style="1937" hidden="1"/>
    <col min="2053" max="2053" width="13.75" style="1937" hidden="1"/>
    <col min="2054" max="2054" width="6.875" style="1937" hidden="1"/>
    <col min="2055" max="2055" width="5.5" style="1937" hidden="1"/>
    <col min="2056" max="2056" width="7.375" style="1937" hidden="1"/>
    <col min="2057" max="2057" width="11" style="1937" hidden="1"/>
    <col min="2058" max="2058" width="12.25" style="1937" hidden="1"/>
    <col min="2059" max="2059" width="12.5" style="1937" hidden="1"/>
    <col min="2060" max="2060" width="12.25" style="1937" hidden="1"/>
    <col min="2061" max="2061" width="5.25" style="1937" hidden="1"/>
    <col min="2062" max="2062" width="7.5" style="1937" hidden="1"/>
    <col min="2063" max="2064" width="1.75" style="1937" hidden="1"/>
    <col min="2065" max="2067" width="0" style="1937" hidden="1"/>
    <col min="2068" max="2068" width="5.5" style="1937" hidden="1"/>
    <col min="2069" max="2069" width="7.375" style="1937" hidden="1"/>
    <col min="2070" max="2070" width="11" style="1937" hidden="1"/>
    <col min="2071" max="2266" width="10.625" style="1937" hidden="1"/>
    <col min="2267" max="2304" width="9" style="1937" hidden="1"/>
    <col min="2305" max="2305" width="2.875" style="1937" hidden="1"/>
    <col min="2306" max="2306" width="2.625" style="1937" hidden="1"/>
    <col min="2307" max="2307" width="18" style="1937" hidden="1"/>
    <col min="2308" max="2308" width="9.25" style="1937" hidden="1"/>
    <col min="2309" max="2309" width="13.75" style="1937" hidden="1"/>
    <col min="2310" max="2310" width="6.875" style="1937" hidden="1"/>
    <col min="2311" max="2311" width="5.5" style="1937" hidden="1"/>
    <col min="2312" max="2312" width="7.375" style="1937" hidden="1"/>
    <col min="2313" max="2313" width="11" style="1937" hidden="1"/>
    <col min="2314" max="2314" width="12.25" style="1937" hidden="1"/>
    <col min="2315" max="2315" width="12.5" style="1937" hidden="1"/>
    <col min="2316" max="2316" width="12.25" style="1937" hidden="1"/>
    <col min="2317" max="2317" width="5.25" style="1937" hidden="1"/>
    <col min="2318" max="2318" width="7.5" style="1937" hidden="1"/>
    <col min="2319" max="2320" width="1.75" style="1937" hidden="1"/>
    <col min="2321" max="2323" width="0" style="1937" hidden="1"/>
    <col min="2324" max="2324" width="5.5" style="1937" hidden="1"/>
    <col min="2325" max="2325" width="7.375" style="1937" hidden="1"/>
    <col min="2326" max="2326" width="11" style="1937" hidden="1"/>
    <col min="2327" max="2522" width="10.625" style="1937" hidden="1"/>
    <col min="2523" max="2560" width="9" style="1937" hidden="1"/>
    <col min="2561" max="2561" width="2.875" style="1937" hidden="1"/>
    <col min="2562" max="2562" width="2.625" style="1937" hidden="1"/>
    <col min="2563" max="2563" width="18" style="1937" hidden="1"/>
    <col min="2564" max="2564" width="9.25" style="1937" hidden="1"/>
    <col min="2565" max="2565" width="13.75" style="1937" hidden="1"/>
    <col min="2566" max="2566" width="6.875" style="1937" hidden="1"/>
    <col min="2567" max="2567" width="5.5" style="1937" hidden="1"/>
    <col min="2568" max="2568" width="7.375" style="1937" hidden="1"/>
    <col min="2569" max="2569" width="11" style="1937" hidden="1"/>
    <col min="2570" max="2570" width="12.25" style="1937" hidden="1"/>
    <col min="2571" max="2571" width="12.5" style="1937" hidden="1"/>
    <col min="2572" max="2572" width="12.25" style="1937" hidden="1"/>
    <col min="2573" max="2573" width="5.25" style="1937" hidden="1"/>
    <col min="2574" max="2574" width="7.5" style="1937" hidden="1"/>
    <col min="2575" max="2576" width="1.75" style="1937" hidden="1"/>
    <col min="2577" max="2579" width="0" style="1937" hidden="1"/>
    <col min="2580" max="2580" width="5.5" style="1937" hidden="1"/>
    <col min="2581" max="2581" width="7.375" style="1937" hidden="1"/>
    <col min="2582" max="2582" width="11" style="1937" hidden="1"/>
    <col min="2583" max="2778" width="10.625" style="1937" hidden="1"/>
    <col min="2779" max="2816" width="9" style="1937" hidden="1"/>
    <col min="2817" max="2817" width="2.875" style="1937" hidden="1"/>
    <col min="2818" max="2818" width="2.625" style="1937" hidden="1"/>
    <col min="2819" max="2819" width="18" style="1937" hidden="1"/>
    <col min="2820" max="2820" width="9.25" style="1937" hidden="1"/>
    <col min="2821" max="2821" width="13.75" style="1937" hidden="1"/>
    <col min="2822" max="2822" width="6.875" style="1937" hidden="1"/>
    <col min="2823" max="2823" width="5.5" style="1937" hidden="1"/>
    <col min="2824" max="2824" width="7.375" style="1937" hidden="1"/>
    <col min="2825" max="2825" width="11" style="1937" hidden="1"/>
    <col min="2826" max="2826" width="12.25" style="1937" hidden="1"/>
    <col min="2827" max="2827" width="12.5" style="1937" hidden="1"/>
    <col min="2828" max="2828" width="12.25" style="1937" hidden="1"/>
    <col min="2829" max="2829" width="5.25" style="1937" hidden="1"/>
    <col min="2830" max="2830" width="7.5" style="1937" hidden="1"/>
    <col min="2831" max="2832" width="1.75" style="1937" hidden="1"/>
    <col min="2833" max="2835" width="0" style="1937" hidden="1"/>
    <col min="2836" max="2836" width="5.5" style="1937" hidden="1"/>
    <col min="2837" max="2837" width="7.375" style="1937" hidden="1"/>
    <col min="2838" max="2838" width="11" style="1937" hidden="1"/>
    <col min="2839" max="3034" width="10.625" style="1937" hidden="1"/>
    <col min="3035" max="3072" width="9" style="1937" hidden="1"/>
    <col min="3073" max="3073" width="2.875" style="1937" hidden="1"/>
    <col min="3074" max="3074" width="2.625" style="1937" hidden="1"/>
    <col min="3075" max="3075" width="18" style="1937" hidden="1"/>
    <col min="3076" max="3076" width="9.25" style="1937" hidden="1"/>
    <col min="3077" max="3077" width="13.75" style="1937" hidden="1"/>
    <col min="3078" max="3078" width="6.875" style="1937" hidden="1"/>
    <col min="3079" max="3079" width="5.5" style="1937" hidden="1"/>
    <col min="3080" max="3080" width="7.375" style="1937" hidden="1"/>
    <col min="3081" max="3081" width="11" style="1937" hidden="1"/>
    <col min="3082" max="3082" width="12.25" style="1937" hidden="1"/>
    <col min="3083" max="3083" width="12.5" style="1937" hidden="1"/>
    <col min="3084" max="3084" width="12.25" style="1937" hidden="1"/>
    <col min="3085" max="3085" width="5.25" style="1937" hidden="1"/>
    <col min="3086" max="3086" width="7.5" style="1937" hidden="1"/>
    <col min="3087" max="3088" width="1.75" style="1937" hidden="1"/>
    <col min="3089" max="3091" width="0" style="1937" hidden="1"/>
    <col min="3092" max="3092" width="5.5" style="1937" hidden="1"/>
    <col min="3093" max="3093" width="7.375" style="1937" hidden="1"/>
    <col min="3094" max="3094" width="11" style="1937" hidden="1"/>
    <col min="3095" max="3290" width="10.625" style="1937" hidden="1"/>
    <col min="3291" max="3328" width="9" style="1937" hidden="1"/>
    <col min="3329" max="3329" width="2.875" style="1937" hidden="1"/>
    <col min="3330" max="3330" width="2.625" style="1937" hidden="1"/>
    <col min="3331" max="3331" width="18" style="1937" hidden="1"/>
    <col min="3332" max="3332" width="9.25" style="1937" hidden="1"/>
    <col min="3333" max="3333" width="13.75" style="1937" hidden="1"/>
    <col min="3334" max="3334" width="6.875" style="1937" hidden="1"/>
    <col min="3335" max="3335" width="5.5" style="1937" hidden="1"/>
    <col min="3336" max="3336" width="7.375" style="1937" hidden="1"/>
    <col min="3337" max="3337" width="11" style="1937" hidden="1"/>
    <col min="3338" max="3338" width="12.25" style="1937" hidden="1"/>
    <col min="3339" max="3339" width="12.5" style="1937" hidden="1"/>
    <col min="3340" max="3340" width="12.25" style="1937" hidden="1"/>
    <col min="3341" max="3341" width="5.25" style="1937" hidden="1"/>
    <col min="3342" max="3342" width="7.5" style="1937" hidden="1"/>
    <col min="3343" max="3344" width="1.75" style="1937" hidden="1"/>
    <col min="3345" max="3347" width="0" style="1937" hidden="1"/>
    <col min="3348" max="3348" width="5.5" style="1937" hidden="1"/>
    <col min="3349" max="3349" width="7.375" style="1937" hidden="1"/>
    <col min="3350" max="3350" width="11" style="1937" hidden="1"/>
    <col min="3351" max="3546" width="10.625" style="1937" hidden="1"/>
    <col min="3547" max="3584" width="9" style="1937" hidden="1"/>
    <col min="3585" max="3585" width="2.875" style="1937" hidden="1"/>
    <col min="3586" max="3586" width="2.625" style="1937" hidden="1"/>
    <col min="3587" max="3587" width="18" style="1937" hidden="1"/>
    <col min="3588" max="3588" width="9.25" style="1937" hidden="1"/>
    <col min="3589" max="3589" width="13.75" style="1937" hidden="1"/>
    <col min="3590" max="3590" width="6.875" style="1937" hidden="1"/>
    <col min="3591" max="3591" width="5.5" style="1937" hidden="1"/>
    <col min="3592" max="3592" width="7.375" style="1937" hidden="1"/>
    <col min="3593" max="3593" width="11" style="1937" hidden="1"/>
    <col min="3594" max="3594" width="12.25" style="1937" hidden="1"/>
    <col min="3595" max="3595" width="12.5" style="1937" hidden="1"/>
    <col min="3596" max="3596" width="12.25" style="1937" hidden="1"/>
    <col min="3597" max="3597" width="5.25" style="1937" hidden="1"/>
    <col min="3598" max="3598" width="7.5" style="1937" hidden="1"/>
    <col min="3599" max="3600" width="1.75" style="1937" hidden="1"/>
    <col min="3601" max="3603" width="0" style="1937" hidden="1"/>
    <col min="3604" max="3604" width="5.5" style="1937" hidden="1"/>
    <col min="3605" max="3605" width="7.375" style="1937" hidden="1"/>
    <col min="3606" max="3606" width="11" style="1937" hidden="1"/>
    <col min="3607" max="3802" width="10.625" style="1937" hidden="1"/>
    <col min="3803" max="3840" width="9" style="1937" hidden="1"/>
    <col min="3841" max="3841" width="2.875" style="1937" hidden="1"/>
    <col min="3842" max="3842" width="2.625" style="1937" hidden="1"/>
    <col min="3843" max="3843" width="18" style="1937" hidden="1"/>
    <col min="3844" max="3844" width="9.25" style="1937" hidden="1"/>
    <col min="3845" max="3845" width="13.75" style="1937" hidden="1"/>
    <col min="3846" max="3846" width="6.875" style="1937" hidden="1"/>
    <col min="3847" max="3847" width="5.5" style="1937" hidden="1"/>
    <col min="3848" max="3848" width="7.375" style="1937" hidden="1"/>
    <col min="3849" max="3849" width="11" style="1937" hidden="1"/>
    <col min="3850" max="3850" width="12.25" style="1937" hidden="1"/>
    <col min="3851" max="3851" width="12.5" style="1937" hidden="1"/>
    <col min="3852" max="3852" width="12.25" style="1937" hidden="1"/>
    <col min="3853" max="3853" width="5.25" style="1937" hidden="1"/>
    <col min="3854" max="3854" width="7.5" style="1937" hidden="1"/>
    <col min="3855" max="3856" width="1.75" style="1937" hidden="1"/>
    <col min="3857" max="3859" width="0" style="1937" hidden="1"/>
    <col min="3860" max="3860" width="5.5" style="1937" hidden="1"/>
    <col min="3861" max="3861" width="7.375" style="1937" hidden="1"/>
    <col min="3862" max="3862" width="11" style="1937" hidden="1"/>
    <col min="3863" max="4058" width="10.625" style="1937" hidden="1"/>
    <col min="4059" max="4096" width="9" style="1937" hidden="1"/>
    <col min="4097" max="4097" width="2.875" style="1937" hidden="1"/>
    <col min="4098" max="4098" width="2.625" style="1937" hidden="1"/>
    <col min="4099" max="4099" width="18" style="1937" hidden="1"/>
    <col min="4100" max="4100" width="9.25" style="1937" hidden="1"/>
    <col min="4101" max="4101" width="13.75" style="1937" hidden="1"/>
    <col min="4102" max="4102" width="6.875" style="1937" hidden="1"/>
    <col min="4103" max="4103" width="5.5" style="1937" hidden="1"/>
    <col min="4104" max="4104" width="7.375" style="1937" hidden="1"/>
    <col min="4105" max="4105" width="11" style="1937" hidden="1"/>
    <col min="4106" max="4106" width="12.25" style="1937" hidden="1"/>
    <col min="4107" max="4107" width="12.5" style="1937" hidden="1"/>
    <col min="4108" max="4108" width="12.25" style="1937" hidden="1"/>
    <col min="4109" max="4109" width="5.25" style="1937" hidden="1"/>
    <col min="4110" max="4110" width="7.5" style="1937" hidden="1"/>
    <col min="4111" max="4112" width="1.75" style="1937" hidden="1"/>
    <col min="4113" max="4115" width="0" style="1937" hidden="1"/>
    <col min="4116" max="4116" width="5.5" style="1937" hidden="1"/>
    <col min="4117" max="4117" width="7.375" style="1937" hidden="1"/>
    <col min="4118" max="4118" width="11" style="1937" hidden="1"/>
    <col min="4119" max="4314" width="10.625" style="1937" hidden="1"/>
    <col min="4315" max="4352" width="9" style="1937" hidden="1"/>
    <col min="4353" max="4353" width="2.875" style="1937" hidden="1"/>
    <col min="4354" max="4354" width="2.625" style="1937" hidden="1"/>
    <col min="4355" max="4355" width="18" style="1937" hidden="1"/>
    <col min="4356" max="4356" width="9.25" style="1937" hidden="1"/>
    <col min="4357" max="4357" width="13.75" style="1937" hidden="1"/>
    <col min="4358" max="4358" width="6.875" style="1937" hidden="1"/>
    <col min="4359" max="4359" width="5.5" style="1937" hidden="1"/>
    <col min="4360" max="4360" width="7.375" style="1937" hidden="1"/>
    <col min="4361" max="4361" width="11" style="1937" hidden="1"/>
    <col min="4362" max="4362" width="12.25" style="1937" hidden="1"/>
    <col min="4363" max="4363" width="12.5" style="1937" hidden="1"/>
    <col min="4364" max="4364" width="12.25" style="1937" hidden="1"/>
    <col min="4365" max="4365" width="5.25" style="1937" hidden="1"/>
    <col min="4366" max="4366" width="7.5" style="1937" hidden="1"/>
    <col min="4367" max="4368" width="1.75" style="1937" hidden="1"/>
    <col min="4369" max="4371" width="0" style="1937" hidden="1"/>
    <col min="4372" max="4372" width="5.5" style="1937" hidden="1"/>
    <col min="4373" max="4373" width="7.375" style="1937" hidden="1"/>
    <col min="4374" max="4374" width="11" style="1937" hidden="1"/>
    <col min="4375" max="4570" width="10.625" style="1937" hidden="1"/>
    <col min="4571" max="4608" width="9" style="1937" hidden="1"/>
    <col min="4609" max="4609" width="2.875" style="1937" hidden="1"/>
    <col min="4610" max="4610" width="2.625" style="1937" hidden="1"/>
    <col min="4611" max="4611" width="18" style="1937" hidden="1"/>
    <col min="4612" max="4612" width="9.25" style="1937" hidden="1"/>
    <col min="4613" max="4613" width="13.75" style="1937" hidden="1"/>
    <col min="4614" max="4614" width="6.875" style="1937" hidden="1"/>
    <col min="4615" max="4615" width="5.5" style="1937" hidden="1"/>
    <col min="4616" max="4616" width="7.375" style="1937" hidden="1"/>
    <col min="4617" max="4617" width="11" style="1937" hidden="1"/>
    <col min="4618" max="4618" width="12.25" style="1937" hidden="1"/>
    <col min="4619" max="4619" width="12.5" style="1937" hidden="1"/>
    <col min="4620" max="4620" width="12.25" style="1937" hidden="1"/>
    <col min="4621" max="4621" width="5.25" style="1937" hidden="1"/>
    <col min="4622" max="4622" width="7.5" style="1937" hidden="1"/>
    <col min="4623" max="4624" width="1.75" style="1937" hidden="1"/>
    <col min="4625" max="4627" width="0" style="1937" hidden="1"/>
    <col min="4628" max="4628" width="5.5" style="1937" hidden="1"/>
    <col min="4629" max="4629" width="7.375" style="1937" hidden="1"/>
    <col min="4630" max="4630" width="11" style="1937" hidden="1"/>
    <col min="4631" max="4826" width="10.625" style="1937" hidden="1"/>
    <col min="4827" max="4864" width="9" style="1937" hidden="1"/>
    <col min="4865" max="4865" width="2.875" style="1937" hidden="1"/>
    <col min="4866" max="4866" width="2.625" style="1937" hidden="1"/>
    <col min="4867" max="4867" width="18" style="1937" hidden="1"/>
    <col min="4868" max="4868" width="9.25" style="1937" hidden="1"/>
    <col min="4869" max="4869" width="13.75" style="1937" hidden="1"/>
    <col min="4870" max="4870" width="6.875" style="1937" hidden="1"/>
    <col min="4871" max="4871" width="5.5" style="1937" hidden="1"/>
    <col min="4872" max="4872" width="7.375" style="1937" hidden="1"/>
    <col min="4873" max="4873" width="11" style="1937" hidden="1"/>
    <col min="4874" max="4874" width="12.25" style="1937" hidden="1"/>
    <col min="4875" max="4875" width="12.5" style="1937" hidden="1"/>
    <col min="4876" max="4876" width="12.25" style="1937" hidden="1"/>
    <col min="4877" max="4877" width="5.25" style="1937" hidden="1"/>
    <col min="4878" max="4878" width="7.5" style="1937" hidden="1"/>
    <col min="4879" max="4880" width="1.75" style="1937" hidden="1"/>
    <col min="4881" max="4883" width="0" style="1937" hidden="1"/>
    <col min="4884" max="4884" width="5.5" style="1937" hidden="1"/>
    <col min="4885" max="4885" width="7.375" style="1937" hidden="1"/>
    <col min="4886" max="4886" width="11" style="1937" hidden="1"/>
    <col min="4887" max="5082" width="10.625" style="1937" hidden="1"/>
    <col min="5083" max="5120" width="9" style="1937" hidden="1"/>
    <col min="5121" max="5121" width="2.875" style="1937" hidden="1"/>
    <col min="5122" max="5122" width="2.625" style="1937" hidden="1"/>
    <col min="5123" max="5123" width="18" style="1937" hidden="1"/>
    <col min="5124" max="5124" width="9.25" style="1937" hidden="1"/>
    <col min="5125" max="5125" width="13.75" style="1937" hidden="1"/>
    <col min="5126" max="5126" width="6.875" style="1937" hidden="1"/>
    <col min="5127" max="5127" width="5.5" style="1937" hidden="1"/>
    <col min="5128" max="5128" width="7.375" style="1937" hidden="1"/>
    <col min="5129" max="5129" width="11" style="1937" hidden="1"/>
    <col min="5130" max="5130" width="12.25" style="1937" hidden="1"/>
    <col min="5131" max="5131" width="12.5" style="1937" hidden="1"/>
    <col min="5132" max="5132" width="12.25" style="1937" hidden="1"/>
    <col min="5133" max="5133" width="5.25" style="1937" hidden="1"/>
    <col min="5134" max="5134" width="7.5" style="1937" hidden="1"/>
    <col min="5135" max="5136" width="1.75" style="1937" hidden="1"/>
    <col min="5137" max="5139" width="0" style="1937" hidden="1"/>
    <col min="5140" max="5140" width="5.5" style="1937" hidden="1"/>
    <col min="5141" max="5141" width="7.375" style="1937" hidden="1"/>
    <col min="5142" max="5142" width="11" style="1937" hidden="1"/>
    <col min="5143" max="5338" width="10.625" style="1937" hidden="1"/>
    <col min="5339" max="5376" width="9" style="1937" hidden="1"/>
    <col min="5377" max="5377" width="2.875" style="1937" hidden="1"/>
    <col min="5378" max="5378" width="2.625" style="1937" hidden="1"/>
    <col min="5379" max="5379" width="18" style="1937" hidden="1"/>
    <col min="5380" max="5380" width="9.25" style="1937" hidden="1"/>
    <col min="5381" max="5381" width="13.75" style="1937" hidden="1"/>
    <col min="5382" max="5382" width="6.875" style="1937" hidden="1"/>
    <col min="5383" max="5383" width="5.5" style="1937" hidden="1"/>
    <col min="5384" max="5384" width="7.375" style="1937" hidden="1"/>
    <col min="5385" max="5385" width="11" style="1937" hidden="1"/>
    <col min="5386" max="5386" width="12.25" style="1937" hidden="1"/>
    <col min="5387" max="5387" width="12.5" style="1937" hidden="1"/>
    <col min="5388" max="5388" width="12.25" style="1937" hidden="1"/>
    <col min="5389" max="5389" width="5.25" style="1937" hidden="1"/>
    <col min="5390" max="5390" width="7.5" style="1937" hidden="1"/>
    <col min="5391" max="5392" width="1.75" style="1937" hidden="1"/>
    <col min="5393" max="5395" width="0" style="1937" hidden="1"/>
    <col min="5396" max="5396" width="5.5" style="1937" hidden="1"/>
    <col min="5397" max="5397" width="7.375" style="1937" hidden="1"/>
    <col min="5398" max="5398" width="11" style="1937" hidden="1"/>
    <col min="5399" max="5594" width="10.625" style="1937" hidden="1"/>
    <col min="5595" max="5632" width="9" style="1937" hidden="1"/>
    <col min="5633" max="5633" width="2.875" style="1937" hidden="1"/>
    <col min="5634" max="5634" width="2.625" style="1937" hidden="1"/>
    <col min="5635" max="5635" width="18" style="1937" hidden="1"/>
    <col min="5636" max="5636" width="9.25" style="1937" hidden="1"/>
    <col min="5637" max="5637" width="13.75" style="1937" hidden="1"/>
    <col min="5638" max="5638" width="6.875" style="1937" hidden="1"/>
    <col min="5639" max="5639" width="5.5" style="1937" hidden="1"/>
    <col min="5640" max="5640" width="7.375" style="1937" hidden="1"/>
    <col min="5641" max="5641" width="11" style="1937" hidden="1"/>
    <col min="5642" max="5642" width="12.25" style="1937" hidden="1"/>
    <col min="5643" max="5643" width="12.5" style="1937" hidden="1"/>
    <col min="5644" max="5644" width="12.25" style="1937" hidden="1"/>
    <col min="5645" max="5645" width="5.25" style="1937" hidden="1"/>
    <col min="5646" max="5646" width="7.5" style="1937" hidden="1"/>
    <col min="5647" max="5648" width="1.75" style="1937" hidden="1"/>
    <col min="5649" max="5651" width="0" style="1937" hidden="1"/>
    <col min="5652" max="5652" width="5.5" style="1937" hidden="1"/>
    <col min="5653" max="5653" width="7.375" style="1937" hidden="1"/>
    <col min="5654" max="5654" width="11" style="1937" hidden="1"/>
    <col min="5655" max="5850" width="10.625" style="1937" hidden="1"/>
    <col min="5851" max="5888" width="9" style="1937" hidden="1"/>
    <col min="5889" max="5889" width="2.875" style="1937" hidden="1"/>
    <col min="5890" max="5890" width="2.625" style="1937" hidden="1"/>
    <col min="5891" max="5891" width="18" style="1937" hidden="1"/>
    <col min="5892" max="5892" width="9.25" style="1937" hidden="1"/>
    <col min="5893" max="5893" width="13.75" style="1937" hidden="1"/>
    <col min="5894" max="5894" width="6.875" style="1937" hidden="1"/>
    <col min="5895" max="5895" width="5.5" style="1937" hidden="1"/>
    <col min="5896" max="5896" width="7.375" style="1937" hidden="1"/>
    <col min="5897" max="5897" width="11" style="1937" hidden="1"/>
    <col min="5898" max="5898" width="12.25" style="1937" hidden="1"/>
    <col min="5899" max="5899" width="12.5" style="1937" hidden="1"/>
    <col min="5900" max="5900" width="12.25" style="1937" hidden="1"/>
    <col min="5901" max="5901" width="5.25" style="1937" hidden="1"/>
    <col min="5902" max="5902" width="7.5" style="1937" hidden="1"/>
    <col min="5903" max="5904" width="1.75" style="1937" hidden="1"/>
    <col min="5905" max="5907" width="0" style="1937" hidden="1"/>
    <col min="5908" max="5908" width="5.5" style="1937" hidden="1"/>
    <col min="5909" max="5909" width="7.375" style="1937" hidden="1"/>
    <col min="5910" max="5910" width="11" style="1937" hidden="1"/>
    <col min="5911" max="6106" width="10.625" style="1937" hidden="1"/>
    <col min="6107" max="6144" width="9" style="1937" hidden="1"/>
    <col min="6145" max="6145" width="2.875" style="1937" hidden="1"/>
    <col min="6146" max="6146" width="2.625" style="1937" hidden="1"/>
    <col min="6147" max="6147" width="18" style="1937" hidden="1"/>
    <col min="6148" max="6148" width="9.25" style="1937" hidden="1"/>
    <col min="6149" max="6149" width="13.75" style="1937" hidden="1"/>
    <col min="6150" max="6150" width="6.875" style="1937" hidden="1"/>
    <col min="6151" max="6151" width="5.5" style="1937" hidden="1"/>
    <col min="6152" max="6152" width="7.375" style="1937" hidden="1"/>
    <col min="6153" max="6153" width="11" style="1937" hidden="1"/>
    <col min="6154" max="6154" width="12.25" style="1937" hidden="1"/>
    <col min="6155" max="6155" width="12.5" style="1937" hidden="1"/>
    <col min="6156" max="6156" width="12.25" style="1937" hidden="1"/>
    <col min="6157" max="6157" width="5.25" style="1937" hidden="1"/>
    <col min="6158" max="6158" width="7.5" style="1937" hidden="1"/>
    <col min="6159" max="6160" width="1.75" style="1937" hidden="1"/>
    <col min="6161" max="6163" width="0" style="1937" hidden="1"/>
    <col min="6164" max="6164" width="5.5" style="1937" hidden="1"/>
    <col min="6165" max="6165" width="7.375" style="1937" hidden="1"/>
    <col min="6166" max="6166" width="11" style="1937" hidden="1"/>
    <col min="6167" max="6362" width="10.625" style="1937" hidden="1"/>
    <col min="6363" max="6400" width="9" style="1937" hidden="1"/>
    <col min="6401" max="6401" width="2.875" style="1937" hidden="1"/>
    <col min="6402" max="6402" width="2.625" style="1937" hidden="1"/>
    <col min="6403" max="6403" width="18" style="1937" hidden="1"/>
    <col min="6404" max="6404" width="9.25" style="1937" hidden="1"/>
    <col min="6405" max="6405" width="13.75" style="1937" hidden="1"/>
    <col min="6406" max="6406" width="6.875" style="1937" hidden="1"/>
    <col min="6407" max="6407" width="5.5" style="1937" hidden="1"/>
    <col min="6408" max="6408" width="7.375" style="1937" hidden="1"/>
    <col min="6409" max="6409" width="11" style="1937" hidden="1"/>
    <col min="6410" max="6410" width="12.25" style="1937" hidden="1"/>
    <col min="6411" max="6411" width="12.5" style="1937" hidden="1"/>
    <col min="6412" max="6412" width="12.25" style="1937" hidden="1"/>
    <col min="6413" max="6413" width="5.25" style="1937" hidden="1"/>
    <col min="6414" max="6414" width="7.5" style="1937" hidden="1"/>
    <col min="6415" max="6416" width="1.75" style="1937" hidden="1"/>
    <col min="6417" max="6419" width="0" style="1937" hidden="1"/>
    <col min="6420" max="6420" width="5.5" style="1937" hidden="1"/>
    <col min="6421" max="6421" width="7.375" style="1937" hidden="1"/>
    <col min="6422" max="6422" width="11" style="1937" hidden="1"/>
    <col min="6423" max="6618" width="10.625" style="1937" hidden="1"/>
    <col min="6619" max="6656" width="9" style="1937" hidden="1"/>
    <col min="6657" max="6657" width="2.875" style="1937" hidden="1"/>
    <col min="6658" max="6658" width="2.625" style="1937" hidden="1"/>
    <col min="6659" max="6659" width="18" style="1937" hidden="1"/>
    <col min="6660" max="6660" width="9.25" style="1937" hidden="1"/>
    <col min="6661" max="6661" width="13.75" style="1937" hidden="1"/>
    <col min="6662" max="6662" width="6.875" style="1937" hidden="1"/>
    <col min="6663" max="6663" width="5.5" style="1937" hidden="1"/>
    <col min="6664" max="6664" width="7.375" style="1937" hidden="1"/>
    <col min="6665" max="6665" width="11" style="1937" hidden="1"/>
    <col min="6666" max="6666" width="12.25" style="1937" hidden="1"/>
    <col min="6667" max="6667" width="12.5" style="1937" hidden="1"/>
    <col min="6668" max="6668" width="12.25" style="1937" hidden="1"/>
    <col min="6669" max="6669" width="5.25" style="1937" hidden="1"/>
    <col min="6670" max="6670" width="7.5" style="1937" hidden="1"/>
    <col min="6671" max="6672" width="1.75" style="1937" hidden="1"/>
    <col min="6673" max="6675" width="0" style="1937" hidden="1"/>
    <col min="6676" max="6676" width="5.5" style="1937" hidden="1"/>
    <col min="6677" max="6677" width="7.375" style="1937" hidden="1"/>
    <col min="6678" max="6678" width="11" style="1937" hidden="1"/>
    <col min="6679" max="6874" width="10.625" style="1937" hidden="1"/>
    <col min="6875" max="6912" width="9" style="1937" hidden="1"/>
    <col min="6913" max="6913" width="2.875" style="1937" hidden="1"/>
    <col min="6914" max="6914" width="2.625" style="1937" hidden="1"/>
    <col min="6915" max="6915" width="18" style="1937" hidden="1"/>
    <col min="6916" max="6916" width="9.25" style="1937" hidden="1"/>
    <col min="6917" max="6917" width="13.75" style="1937" hidden="1"/>
    <col min="6918" max="6918" width="6.875" style="1937" hidden="1"/>
    <col min="6919" max="6919" width="5.5" style="1937" hidden="1"/>
    <col min="6920" max="6920" width="7.375" style="1937" hidden="1"/>
    <col min="6921" max="6921" width="11" style="1937" hidden="1"/>
    <col min="6922" max="6922" width="12.25" style="1937" hidden="1"/>
    <col min="6923" max="6923" width="12.5" style="1937" hidden="1"/>
    <col min="6924" max="6924" width="12.25" style="1937" hidden="1"/>
    <col min="6925" max="6925" width="5.25" style="1937" hidden="1"/>
    <col min="6926" max="6926" width="7.5" style="1937" hidden="1"/>
    <col min="6927" max="6928" width="1.75" style="1937" hidden="1"/>
    <col min="6929" max="6931" width="0" style="1937" hidden="1"/>
    <col min="6932" max="6932" width="5.5" style="1937" hidden="1"/>
    <col min="6933" max="6933" width="7.375" style="1937" hidden="1"/>
    <col min="6934" max="6934" width="11" style="1937" hidden="1"/>
    <col min="6935" max="7130" width="10.625" style="1937" hidden="1"/>
    <col min="7131" max="7168" width="9" style="1937" hidden="1"/>
    <col min="7169" max="7169" width="2.875" style="1937" hidden="1"/>
    <col min="7170" max="7170" width="2.625" style="1937" hidden="1"/>
    <col min="7171" max="7171" width="18" style="1937" hidden="1"/>
    <col min="7172" max="7172" width="9.25" style="1937" hidden="1"/>
    <col min="7173" max="7173" width="13.75" style="1937" hidden="1"/>
    <col min="7174" max="7174" width="6.875" style="1937" hidden="1"/>
    <col min="7175" max="7175" width="5.5" style="1937" hidden="1"/>
    <col min="7176" max="7176" width="7.375" style="1937" hidden="1"/>
    <col min="7177" max="7177" width="11" style="1937" hidden="1"/>
    <col min="7178" max="7178" width="12.25" style="1937" hidden="1"/>
    <col min="7179" max="7179" width="12.5" style="1937" hidden="1"/>
    <col min="7180" max="7180" width="12.25" style="1937" hidden="1"/>
    <col min="7181" max="7181" width="5.25" style="1937" hidden="1"/>
    <col min="7182" max="7182" width="7.5" style="1937" hidden="1"/>
    <col min="7183" max="7184" width="1.75" style="1937" hidden="1"/>
    <col min="7185" max="7187" width="0" style="1937" hidden="1"/>
    <col min="7188" max="7188" width="5.5" style="1937" hidden="1"/>
    <col min="7189" max="7189" width="7.375" style="1937" hidden="1"/>
    <col min="7190" max="7190" width="11" style="1937" hidden="1"/>
    <col min="7191" max="7386" width="10.625" style="1937" hidden="1"/>
    <col min="7387" max="7424" width="9" style="1937" hidden="1"/>
    <col min="7425" max="7425" width="2.875" style="1937" hidden="1"/>
    <col min="7426" max="7426" width="2.625" style="1937" hidden="1"/>
    <col min="7427" max="7427" width="18" style="1937" hidden="1"/>
    <col min="7428" max="7428" width="9.25" style="1937" hidden="1"/>
    <col min="7429" max="7429" width="13.75" style="1937" hidden="1"/>
    <col min="7430" max="7430" width="6.875" style="1937" hidden="1"/>
    <col min="7431" max="7431" width="5.5" style="1937" hidden="1"/>
    <col min="7432" max="7432" width="7.375" style="1937" hidden="1"/>
    <col min="7433" max="7433" width="11" style="1937" hidden="1"/>
    <col min="7434" max="7434" width="12.25" style="1937" hidden="1"/>
    <col min="7435" max="7435" width="12.5" style="1937" hidden="1"/>
    <col min="7436" max="7436" width="12.25" style="1937" hidden="1"/>
    <col min="7437" max="7437" width="5.25" style="1937" hidden="1"/>
    <col min="7438" max="7438" width="7.5" style="1937" hidden="1"/>
    <col min="7439" max="7440" width="1.75" style="1937" hidden="1"/>
    <col min="7441" max="7443" width="0" style="1937" hidden="1"/>
    <col min="7444" max="7444" width="5.5" style="1937" hidden="1"/>
    <col min="7445" max="7445" width="7.375" style="1937" hidden="1"/>
    <col min="7446" max="7446" width="11" style="1937" hidden="1"/>
    <col min="7447" max="7642" width="10.625" style="1937" hidden="1"/>
    <col min="7643" max="7680" width="9" style="1937" hidden="1"/>
    <col min="7681" max="7681" width="2.875" style="1937" hidden="1"/>
    <col min="7682" max="7682" width="2.625" style="1937" hidden="1"/>
    <col min="7683" max="7683" width="18" style="1937" hidden="1"/>
    <col min="7684" max="7684" width="9.25" style="1937" hidden="1"/>
    <col min="7685" max="7685" width="13.75" style="1937" hidden="1"/>
    <col min="7686" max="7686" width="6.875" style="1937" hidden="1"/>
    <col min="7687" max="7687" width="5.5" style="1937" hidden="1"/>
    <col min="7688" max="7688" width="7.375" style="1937" hidden="1"/>
    <col min="7689" max="7689" width="11" style="1937" hidden="1"/>
    <col min="7690" max="7690" width="12.25" style="1937" hidden="1"/>
    <col min="7691" max="7691" width="12.5" style="1937" hidden="1"/>
    <col min="7692" max="7692" width="12.25" style="1937" hidden="1"/>
    <col min="7693" max="7693" width="5.25" style="1937" hidden="1"/>
    <col min="7694" max="7694" width="7.5" style="1937" hidden="1"/>
    <col min="7695" max="7696" width="1.75" style="1937" hidden="1"/>
    <col min="7697" max="7699" width="0" style="1937" hidden="1"/>
    <col min="7700" max="7700" width="5.5" style="1937" hidden="1"/>
    <col min="7701" max="7701" width="7.375" style="1937" hidden="1"/>
    <col min="7702" max="7702" width="11" style="1937" hidden="1"/>
    <col min="7703" max="7898" width="10.625" style="1937" hidden="1"/>
    <col min="7899" max="7936" width="9" style="1937" hidden="1"/>
    <col min="7937" max="7937" width="2.875" style="1937" hidden="1"/>
    <col min="7938" max="7938" width="2.625" style="1937" hidden="1"/>
    <col min="7939" max="7939" width="18" style="1937" hidden="1"/>
    <col min="7940" max="7940" width="9.25" style="1937" hidden="1"/>
    <col min="7941" max="7941" width="13.75" style="1937" hidden="1"/>
    <col min="7942" max="7942" width="6.875" style="1937" hidden="1"/>
    <col min="7943" max="7943" width="5.5" style="1937" hidden="1"/>
    <col min="7944" max="7944" width="7.375" style="1937" hidden="1"/>
    <col min="7945" max="7945" width="11" style="1937" hidden="1"/>
    <col min="7946" max="7946" width="12.25" style="1937" hidden="1"/>
    <col min="7947" max="7947" width="12.5" style="1937" hidden="1"/>
    <col min="7948" max="7948" width="12.25" style="1937" hidden="1"/>
    <col min="7949" max="7949" width="5.25" style="1937" hidden="1"/>
    <col min="7950" max="7950" width="7.5" style="1937" hidden="1"/>
    <col min="7951" max="7952" width="1.75" style="1937" hidden="1"/>
    <col min="7953" max="7955" width="0" style="1937" hidden="1"/>
    <col min="7956" max="7956" width="5.5" style="1937" hidden="1"/>
    <col min="7957" max="7957" width="7.375" style="1937" hidden="1"/>
    <col min="7958" max="7958" width="11" style="1937" hidden="1"/>
    <col min="7959" max="8154" width="10.625" style="1937" hidden="1"/>
    <col min="8155" max="8192" width="9" style="1937" hidden="1"/>
    <col min="8193" max="8193" width="2.875" style="1937" hidden="1"/>
    <col min="8194" max="8194" width="2.625" style="1937" hidden="1"/>
    <col min="8195" max="8195" width="18" style="1937" hidden="1"/>
    <col min="8196" max="8196" width="9.25" style="1937" hidden="1"/>
    <col min="8197" max="8197" width="13.75" style="1937" hidden="1"/>
    <col min="8198" max="8198" width="6.875" style="1937" hidden="1"/>
    <col min="8199" max="8199" width="5.5" style="1937" hidden="1"/>
    <col min="8200" max="8200" width="7.375" style="1937" hidden="1"/>
    <col min="8201" max="8201" width="11" style="1937" hidden="1"/>
    <col min="8202" max="8202" width="12.25" style="1937" hidden="1"/>
    <col min="8203" max="8203" width="12.5" style="1937" hidden="1"/>
    <col min="8204" max="8204" width="12.25" style="1937" hidden="1"/>
    <col min="8205" max="8205" width="5.25" style="1937" hidden="1"/>
    <col min="8206" max="8206" width="7.5" style="1937" hidden="1"/>
    <col min="8207" max="8208" width="1.75" style="1937" hidden="1"/>
    <col min="8209" max="8211" width="0" style="1937" hidden="1"/>
    <col min="8212" max="8212" width="5.5" style="1937" hidden="1"/>
    <col min="8213" max="8213" width="7.375" style="1937" hidden="1"/>
    <col min="8214" max="8214" width="11" style="1937" hidden="1"/>
    <col min="8215" max="8410" width="10.625" style="1937" hidden="1"/>
    <col min="8411" max="8448" width="9" style="1937" hidden="1"/>
    <col min="8449" max="8449" width="2.875" style="1937" hidden="1"/>
    <col min="8450" max="8450" width="2.625" style="1937" hidden="1"/>
    <col min="8451" max="8451" width="18" style="1937" hidden="1"/>
    <col min="8452" max="8452" width="9.25" style="1937" hidden="1"/>
    <col min="8453" max="8453" width="13.75" style="1937" hidden="1"/>
    <col min="8454" max="8454" width="6.875" style="1937" hidden="1"/>
    <col min="8455" max="8455" width="5.5" style="1937" hidden="1"/>
    <col min="8456" max="8456" width="7.375" style="1937" hidden="1"/>
    <col min="8457" max="8457" width="11" style="1937" hidden="1"/>
    <col min="8458" max="8458" width="12.25" style="1937" hidden="1"/>
    <col min="8459" max="8459" width="12.5" style="1937" hidden="1"/>
    <col min="8460" max="8460" width="12.25" style="1937" hidden="1"/>
    <col min="8461" max="8461" width="5.25" style="1937" hidden="1"/>
    <col min="8462" max="8462" width="7.5" style="1937" hidden="1"/>
    <col min="8463" max="8464" width="1.75" style="1937" hidden="1"/>
    <col min="8465" max="8467" width="0" style="1937" hidden="1"/>
    <col min="8468" max="8468" width="5.5" style="1937" hidden="1"/>
    <col min="8469" max="8469" width="7.375" style="1937" hidden="1"/>
    <col min="8470" max="8470" width="11" style="1937" hidden="1"/>
    <col min="8471" max="8666" width="10.625" style="1937" hidden="1"/>
    <col min="8667" max="8704" width="9" style="1937" hidden="1"/>
    <col min="8705" max="8705" width="2.875" style="1937" hidden="1"/>
    <col min="8706" max="8706" width="2.625" style="1937" hidden="1"/>
    <col min="8707" max="8707" width="18" style="1937" hidden="1"/>
    <col min="8708" max="8708" width="9.25" style="1937" hidden="1"/>
    <col min="8709" max="8709" width="13.75" style="1937" hidden="1"/>
    <col min="8710" max="8710" width="6.875" style="1937" hidden="1"/>
    <col min="8711" max="8711" width="5.5" style="1937" hidden="1"/>
    <col min="8712" max="8712" width="7.375" style="1937" hidden="1"/>
    <col min="8713" max="8713" width="11" style="1937" hidden="1"/>
    <col min="8714" max="8714" width="12.25" style="1937" hidden="1"/>
    <col min="8715" max="8715" width="12.5" style="1937" hidden="1"/>
    <col min="8716" max="8716" width="12.25" style="1937" hidden="1"/>
    <col min="8717" max="8717" width="5.25" style="1937" hidden="1"/>
    <col min="8718" max="8718" width="7.5" style="1937" hidden="1"/>
    <col min="8719" max="8720" width="1.75" style="1937" hidden="1"/>
    <col min="8721" max="8723" width="0" style="1937" hidden="1"/>
    <col min="8724" max="8724" width="5.5" style="1937" hidden="1"/>
    <col min="8725" max="8725" width="7.375" style="1937" hidden="1"/>
    <col min="8726" max="8726" width="11" style="1937" hidden="1"/>
    <col min="8727" max="8922" width="10.625" style="1937" hidden="1"/>
    <col min="8923" max="8960" width="9" style="1937" hidden="1"/>
    <col min="8961" max="8961" width="2.875" style="1937" hidden="1"/>
    <col min="8962" max="8962" width="2.625" style="1937" hidden="1"/>
    <col min="8963" max="8963" width="18" style="1937" hidden="1"/>
    <col min="8964" max="8964" width="9.25" style="1937" hidden="1"/>
    <col min="8965" max="8965" width="13.75" style="1937" hidden="1"/>
    <col min="8966" max="8966" width="6.875" style="1937" hidden="1"/>
    <col min="8967" max="8967" width="5.5" style="1937" hidden="1"/>
    <col min="8968" max="8968" width="7.375" style="1937" hidden="1"/>
    <col min="8969" max="8969" width="11" style="1937" hidden="1"/>
    <col min="8970" max="8970" width="12.25" style="1937" hidden="1"/>
    <col min="8971" max="8971" width="12.5" style="1937" hidden="1"/>
    <col min="8972" max="8972" width="12.25" style="1937" hidden="1"/>
    <col min="8973" max="8973" width="5.25" style="1937" hidden="1"/>
    <col min="8974" max="8974" width="7.5" style="1937" hidden="1"/>
    <col min="8975" max="8976" width="1.75" style="1937" hidden="1"/>
    <col min="8977" max="8979" width="0" style="1937" hidden="1"/>
    <col min="8980" max="8980" width="5.5" style="1937" hidden="1"/>
    <col min="8981" max="8981" width="7.375" style="1937" hidden="1"/>
    <col min="8982" max="8982" width="11" style="1937" hidden="1"/>
    <col min="8983" max="9178" width="10.625" style="1937" hidden="1"/>
    <col min="9179" max="9216" width="9" style="1937" hidden="1"/>
    <col min="9217" max="9217" width="2.875" style="1937" hidden="1"/>
    <col min="9218" max="9218" width="2.625" style="1937" hidden="1"/>
    <col min="9219" max="9219" width="18" style="1937" hidden="1"/>
    <col min="9220" max="9220" width="9.25" style="1937" hidden="1"/>
    <col min="9221" max="9221" width="13.75" style="1937" hidden="1"/>
    <col min="9222" max="9222" width="6.875" style="1937" hidden="1"/>
    <col min="9223" max="9223" width="5.5" style="1937" hidden="1"/>
    <col min="9224" max="9224" width="7.375" style="1937" hidden="1"/>
    <col min="9225" max="9225" width="11" style="1937" hidden="1"/>
    <col min="9226" max="9226" width="12.25" style="1937" hidden="1"/>
    <col min="9227" max="9227" width="12.5" style="1937" hidden="1"/>
    <col min="9228" max="9228" width="12.25" style="1937" hidden="1"/>
    <col min="9229" max="9229" width="5.25" style="1937" hidden="1"/>
    <col min="9230" max="9230" width="7.5" style="1937" hidden="1"/>
    <col min="9231" max="9232" width="1.75" style="1937" hidden="1"/>
    <col min="9233" max="9235" width="0" style="1937" hidden="1"/>
    <col min="9236" max="9236" width="5.5" style="1937" hidden="1"/>
    <col min="9237" max="9237" width="7.375" style="1937" hidden="1"/>
    <col min="9238" max="9238" width="11" style="1937" hidden="1"/>
    <col min="9239" max="9434" width="10.625" style="1937" hidden="1"/>
    <col min="9435" max="9472" width="9" style="1937" hidden="1"/>
    <col min="9473" max="9473" width="2.875" style="1937" hidden="1"/>
    <col min="9474" max="9474" width="2.625" style="1937" hidden="1"/>
    <col min="9475" max="9475" width="18" style="1937" hidden="1"/>
    <col min="9476" max="9476" width="9.25" style="1937" hidden="1"/>
    <col min="9477" max="9477" width="13.75" style="1937" hidden="1"/>
    <col min="9478" max="9478" width="6.875" style="1937" hidden="1"/>
    <col min="9479" max="9479" width="5.5" style="1937" hidden="1"/>
    <col min="9480" max="9480" width="7.375" style="1937" hidden="1"/>
    <col min="9481" max="9481" width="11" style="1937" hidden="1"/>
    <col min="9482" max="9482" width="12.25" style="1937" hidden="1"/>
    <col min="9483" max="9483" width="12.5" style="1937" hidden="1"/>
    <col min="9484" max="9484" width="12.25" style="1937" hidden="1"/>
    <col min="9485" max="9485" width="5.25" style="1937" hidden="1"/>
    <col min="9486" max="9486" width="7.5" style="1937" hidden="1"/>
    <col min="9487" max="9488" width="1.75" style="1937" hidden="1"/>
    <col min="9489" max="9491" width="0" style="1937" hidden="1"/>
    <col min="9492" max="9492" width="5.5" style="1937" hidden="1"/>
    <col min="9493" max="9493" width="7.375" style="1937" hidden="1"/>
    <col min="9494" max="9494" width="11" style="1937" hidden="1"/>
    <col min="9495" max="9690" width="10.625" style="1937" hidden="1"/>
    <col min="9691" max="9728" width="9" style="1937" hidden="1"/>
    <col min="9729" max="9729" width="2.875" style="1937" hidden="1"/>
    <col min="9730" max="9730" width="2.625" style="1937" hidden="1"/>
    <col min="9731" max="9731" width="18" style="1937" hidden="1"/>
    <col min="9732" max="9732" width="9.25" style="1937" hidden="1"/>
    <col min="9733" max="9733" width="13.75" style="1937" hidden="1"/>
    <col min="9734" max="9734" width="6.875" style="1937" hidden="1"/>
    <col min="9735" max="9735" width="5.5" style="1937" hidden="1"/>
    <col min="9736" max="9736" width="7.375" style="1937" hidden="1"/>
    <col min="9737" max="9737" width="11" style="1937" hidden="1"/>
    <col min="9738" max="9738" width="12.25" style="1937" hidden="1"/>
    <col min="9739" max="9739" width="12.5" style="1937" hidden="1"/>
    <col min="9740" max="9740" width="12.25" style="1937" hidden="1"/>
    <col min="9741" max="9741" width="5.25" style="1937" hidden="1"/>
    <col min="9742" max="9742" width="7.5" style="1937" hidden="1"/>
    <col min="9743" max="9744" width="1.75" style="1937" hidden="1"/>
    <col min="9745" max="9747" width="0" style="1937" hidden="1"/>
    <col min="9748" max="9748" width="5.5" style="1937" hidden="1"/>
    <col min="9749" max="9749" width="7.375" style="1937" hidden="1"/>
    <col min="9750" max="9750" width="11" style="1937" hidden="1"/>
    <col min="9751" max="9946" width="10.625" style="1937" hidden="1"/>
    <col min="9947" max="9984" width="9" style="1937" hidden="1"/>
    <col min="9985" max="9985" width="2.875" style="1937" hidden="1"/>
    <col min="9986" max="9986" width="2.625" style="1937" hidden="1"/>
    <col min="9987" max="9987" width="18" style="1937" hidden="1"/>
    <col min="9988" max="9988" width="9.25" style="1937" hidden="1"/>
    <col min="9989" max="9989" width="13.75" style="1937" hidden="1"/>
    <col min="9990" max="9990" width="6.875" style="1937" hidden="1"/>
    <col min="9991" max="9991" width="5.5" style="1937" hidden="1"/>
    <col min="9992" max="9992" width="7.375" style="1937" hidden="1"/>
    <col min="9993" max="9993" width="11" style="1937" hidden="1"/>
    <col min="9994" max="9994" width="12.25" style="1937" hidden="1"/>
    <col min="9995" max="9995" width="12.5" style="1937" hidden="1"/>
    <col min="9996" max="9996" width="12.25" style="1937" hidden="1"/>
    <col min="9997" max="9997" width="5.25" style="1937" hidden="1"/>
    <col min="9998" max="9998" width="7.5" style="1937" hidden="1"/>
    <col min="9999" max="10000" width="1.75" style="1937" hidden="1"/>
    <col min="10001" max="10003" width="0" style="1937" hidden="1"/>
    <col min="10004" max="10004" width="5.5" style="1937" hidden="1"/>
    <col min="10005" max="10005" width="7.375" style="1937" hidden="1"/>
    <col min="10006" max="10006" width="11" style="1937" hidden="1"/>
    <col min="10007" max="10202" width="10.625" style="1937" hidden="1"/>
    <col min="10203" max="10240" width="9" style="1937" hidden="1"/>
    <col min="10241" max="10241" width="2.875" style="1937" hidden="1"/>
    <col min="10242" max="10242" width="2.625" style="1937" hidden="1"/>
    <col min="10243" max="10243" width="18" style="1937" hidden="1"/>
    <col min="10244" max="10244" width="9.25" style="1937" hidden="1"/>
    <col min="10245" max="10245" width="13.75" style="1937" hidden="1"/>
    <col min="10246" max="10246" width="6.875" style="1937" hidden="1"/>
    <col min="10247" max="10247" width="5.5" style="1937" hidden="1"/>
    <col min="10248" max="10248" width="7.375" style="1937" hidden="1"/>
    <col min="10249" max="10249" width="11" style="1937" hidden="1"/>
    <col min="10250" max="10250" width="12.25" style="1937" hidden="1"/>
    <col min="10251" max="10251" width="12.5" style="1937" hidden="1"/>
    <col min="10252" max="10252" width="12.25" style="1937" hidden="1"/>
    <col min="10253" max="10253" width="5.25" style="1937" hidden="1"/>
    <col min="10254" max="10254" width="7.5" style="1937" hidden="1"/>
    <col min="10255" max="10256" width="1.75" style="1937" hidden="1"/>
    <col min="10257" max="10259" width="0" style="1937" hidden="1"/>
    <col min="10260" max="10260" width="5.5" style="1937" hidden="1"/>
    <col min="10261" max="10261" width="7.375" style="1937" hidden="1"/>
    <col min="10262" max="10262" width="11" style="1937" hidden="1"/>
    <col min="10263" max="10458" width="10.625" style="1937" hidden="1"/>
    <col min="10459" max="10496" width="9" style="1937" hidden="1"/>
    <col min="10497" max="10497" width="2.875" style="1937" hidden="1"/>
    <col min="10498" max="10498" width="2.625" style="1937" hidden="1"/>
    <col min="10499" max="10499" width="18" style="1937" hidden="1"/>
    <col min="10500" max="10500" width="9.25" style="1937" hidden="1"/>
    <col min="10501" max="10501" width="13.75" style="1937" hidden="1"/>
    <col min="10502" max="10502" width="6.875" style="1937" hidden="1"/>
    <col min="10503" max="10503" width="5.5" style="1937" hidden="1"/>
    <col min="10504" max="10504" width="7.375" style="1937" hidden="1"/>
    <col min="10505" max="10505" width="11" style="1937" hidden="1"/>
    <col min="10506" max="10506" width="12.25" style="1937" hidden="1"/>
    <col min="10507" max="10507" width="12.5" style="1937" hidden="1"/>
    <col min="10508" max="10508" width="12.25" style="1937" hidden="1"/>
    <col min="10509" max="10509" width="5.25" style="1937" hidden="1"/>
    <col min="10510" max="10510" width="7.5" style="1937" hidden="1"/>
    <col min="10511" max="10512" width="1.75" style="1937" hidden="1"/>
    <col min="10513" max="10515" width="0" style="1937" hidden="1"/>
    <col min="10516" max="10516" width="5.5" style="1937" hidden="1"/>
    <col min="10517" max="10517" width="7.375" style="1937" hidden="1"/>
    <col min="10518" max="10518" width="11" style="1937" hidden="1"/>
    <col min="10519" max="10714" width="10.625" style="1937" hidden="1"/>
    <col min="10715" max="10752" width="9" style="1937" hidden="1"/>
    <col min="10753" max="10753" width="2.875" style="1937" hidden="1"/>
    <col min="10754" max="10754" width="2.625" style="1937" hidden="1"/>
    <col min="10755" max="10755" width="18" style="1937" hidden="1"/>
    <col min="10756" max="10756" width="9.25" style="1937" hidden="1"/>
    <col min="10757" max="10757" width="13.75" style="1937" hidden="1"/>
    <col min="10758" max="10758" width="6.875" style="1937" hidden="1"/>
    <col min="10759" max="10759" width="5.5" style="1937" hidden="1"/>
    <col min="10760" max="10760" width="7.375" style="1937" hidden="1"/>
    <col min="10761" max="10761" width="11" style="1937" hidden="1"/>
    <col min="10762" max="10762" width="12.25" style="1937" hidden="1"/>
    <col min="10763" max="10763" width="12.5" style="1937" hidden="1"/>
    <col min="10764" max="10764" width="12.25" style="1937" hidden="1"/>
    <col min="10765" max="10765" width="5.25" style="1937" hidden="1"/>
    <col min="10766" max="10766" width="7.5" style="1937" hidden="1"/>
    <col min="10767" max="10768" width="1.75" style="1937" hidden="1"/>
    <col min="10769" max="10771" width="0" style="1937" hidden="1"/>
    <col min="10772" max="10772" width="5.5" style="1937" hidden="1"/>
    <col min="10773" max="10773" width="7.375" style="1937" hidden="1"/>
    <col min="10774" max="10774" width="11" style="1937" hidden="1"/>
    <col min="10775" max="10970" width="10.625" style="1937" hidden="1"/>
    <col min="10971" max="11008" width="9" style="1937" hidden="1"/>
    <col min="11009" max="11009" width="2.875" style="1937" hidden="1"/>
    <col min="11010" max="11010" width="2.625" style="1937" hidden="1"/>
    <col min="11011" max="11011" width="18" style="1937" hidden="1"/>
    <col min="11012" max="11012" width="9.25" style="1937" hidden="1"/>
    <col min="11013" max="11013" width="13.75" style="1937" hidden="1"/>
    <col min="11014" max="11014" width="6.875" style="1937" hidden="1"/>
    <col min="11015" max="11015" width="5.5" style="1937" hidden="1"/>
    <col min="11016" max="11016" width="7.375" style="1937" hidden="1"/>
    <col min="11017" max="11017" width="11" style="1937" hidden="1"/>
    <col min="11018" max="11018" width="12.25" style="1937" hidden="1"/>
    <col min="11019" max="11019" width="12.5" style="1937" hidden="1"/>
    <col min="11020" max="11020" width="12.25" style="1937" hidden="1"/>
    <col min="11021" max="11021" width="5.25" style="1937" hidden="1"/>
    <col min="11022" max="11022" width="7.5" style="1937" hidden="1"/>
    <col min="11023" max="11024" width="1.75" style="1937" hidden="1"/>
    <col min="11025" max="11027" width="0" style="1937" hidden="1"/>
    <col min="11028" max="11028" width="5.5" style="1937" hidden="1"/>
    <col min="11029" max="11029" width="7.375" style="1937" hidden="1"/>
    <col min="11030" max="11030" width="11" style="1937" hidden="1"/>
    <col min="11031" max="11226" width="10.625" style="1937" hidden="1"/>
    <col min="11227" max="11264" width="9" style="1937" hidden="1"/>
    <col min="11265" max="11265" width="2.875" style="1937" hidden="1"/>
    <col min="11266" max="11266" width="2.625" style="1937" hidden="1"/>
    <col min="11267" max="11267" width="18" style="1937" hidden="1"/>
    <col min="11268" max="11268" width="9.25" style="1937" hidden="1"/>
    <col min="11269" max="11269" width="13.75" style="1937" hidden="1"/>
    <col min="11270" max="11270" width="6.875" style="1937" hidden="1"/>
    <col min="11271" max="11271" width="5.5" style="1937" hidden="1"/>
    <col min="11272" max="11272" width="7.375" style="1937" hidden="1"/>
    <col min="11273" max="11273" width="11" style="1937" hidden="1"/>
    <col min="11274" max="11274" width="12.25" style="1937" hidden="1"/>
    <col min="11275" max="11275" width="12.5" style="1937" hidden="1"/>
    <col min="11276" max="11276" width="12.25" style="1937" hidden="1"/>
    <col min="11277" max="11277" width="5.25" style="1937" hidden="1"/>
    <col min="11278" max="11278" width="7.5" style="1937" hidden="1"/>
    <col min="11279" max="11280" width="1.75" style="1937" hidden="1"/>
    <col min="11281" max="11283" width="0" style="1937" hidden="1"/>
    <col min="11284" max="11284" width="5.5" style="1937" hidden="1"/>
    <col min="11285" max="11285" width="7.375" style="1937" hidden="1"/>
    <col min="11286" max="11286" width="11" style="1937" hidden="1"/>
    <col min="11287" max="11482" width="10.625" style="1937" hidden="1"/>
    <col min="11483" max="11520" width="9" style="1937" hidden="1"/>
    <col min="11521" max="11521" width="2.875" style="1937" hidden="1"/>
    <col min="11522" max="11522" width="2.625" style="1937" hidden="1"/>
    <col min="11523" max="11523" width="18" style="1937" hidden="1"/>
    <col min="11524" max="11524" width="9.25" style="1937" hidden="1"/>
    <col min="11525" max="11525" width="13.75" style="1937" hidden="1"/>
    <col min="11526" max="11526" width="6.875" style="1937" hidden="1"/>
    <col min="11527" max="11527" width="5.5" style="1937" hidden="1"/>
    <col min="11528" max="11528" width="7.375" style="1937" hidden="1"/>
    <col min="11529" max="11529" width="11" style="1937" hidden="1"/>
    <col min="11530" max="11530" width="12.25" style="1937" hidden="1"/>
    <col min="11531" max="11531" width="12.5" style="1937" hidden="1"/>
    <col min="11532" max="11532" width="12.25" style="1937" hidden="1"/>
    <col min="11533" max="11533" width="5.25" style="1937" hidden="1"/>
    <col min="11534" max="11534" width="7.5" style="1937" hidden="1"/>
    <col min="11535" max="11536" width="1.75" style="1937" hidden="1"/>
    <col min="11537" max="11539" width="0" style="1937" hidden="1"/>
    <col min="11540" max="11540" width="5.5" style="1937" hidden="1"/>
    <col min="11541" max="11541" width="7.375" style="1937" hidden="1"/>
    <col min="11542" max="11542" width="11" style="1937" hidden="1"/>
    <col min="11543" max="11738" width="10.625" style="1937" hidden="1"/>
    <col min="11739" max="11776" width="9" style="1937" hidden="1"/>
    <col min="11777" max="11777" width="2.875" style="1937" hidden="1"/>
    <col min="11778" max="11778" width="2.625" style="1937" hidden="1"/>
    <col min="11779" max="11779" width="18" style="1937" hidden="1"/>
    <col min="11780" max="11780" width="9.25" style="1937" hidden="1"/>
    <col min="11781" max="11781" width="13.75" style="1937" hidden="1"/>
    <col min="11782" max="11782" width="6.875" style="1937" hidden="1"/>
    <col min="11783" max="11783" width="5.5" style="1937" hidden="1"/>
    <col min="11784" max="11784" width="7.375" style="1937" hidden="1"/>
    <col min="11785" max="11785" width="11" style="1937" hidden="1"/>
    <col min="11786" max="11786" width="12.25" style="1937" hidden="1"/>
    <col min="11787" max="11787" width="12.5" style="1937" hidden="1"/>
    <col min="11788" max="11788" width="12.25" style="1937" hidden="1"/>
    <col min="11789" max="11789" width="5.25" style="1937" hidden="1"/>
    <col min="11790" max="11790" width="7.5" style="1937" hidden="1"/>
    <col min="11791" max="11792" width="1.75" style="1937" hidden="1"/>
    <col min="11793" max="11795" width="0" style="1937" hidden="1"/>
    <col min="11796" max="11796" width="5.5" style="1937" hidden="1"/>
    <col min="11797" max="11797" width="7.375" style="1937" hidden="1"/>
    <col min="11798" max="11798" width="11" style="1937" hidden="1"/>
    <col min="11799" max="11994" width="10.625" style="1937" hidden="1"/>
    <col min="11995" max="12032" width="9" style="1937" hidden="1"/>
    <col min="12033" max="12033" width="2.875" style="1937" hidden="1"/>
    <col min="12034" max="12034" width="2.625" style="1937" hidden="1"/>
    <col min="12035" max="12035" width="18" style="1937" hidden="1"/>
    <col min="12036" max="12036" width="9.25" style="1937" hidden="1"/>
    <col min="12037" max="12037" width="13.75" style="1937" hidden="1"/>
    <col min="12038" max="12038" width="6.875" style="1937" hidden="1"/>
    <col min="12039" max="12039" width="5.5" style="1937" hidden="1"/>
    <col min="12040" max="12040" width="7.375" style="1937" hidden="1"/>
    <col min="12041" max="12041" width="11" style="1937" hidden="1"/>
    <col min="12042" max="12042" width="12.25" style="1937" hidden="1"/>
    <col min="12043" max="12043" width="12.5" style="1937" hidden="1"/>
    <col min="12044" max="12044" width="12.25" style="1937" hidden="1"/>
    <col min="12045" max="12045" width="5.25" style="1937" hidden="1"/>
    <col min="12046" max="12046" width="7.5" style="1937" hidden="1"/>
    <col min="12047" max="12048" width="1.75" style="1937" hidden="1"/>
    <col min="12049" max="12051" width="0" style="1937" hidden="1"/>
    <col min="12052" max="12052" width="5.5" style="1937" hidden="1"/>
    <col min="12053" max="12053" width="7.375" style="1937" hidden="1"/>
    <col min="12054" max="12054" width="11" style="1937" hidden="1"/>
    <col min="12055" max="12250" width="10.625" style="1937" hidden="1"/>
    <col min="12251" max="12288" width="9" style="1937" hidden="1"/>
    <col min="12289" max="12289" width="2.875" style="1937" hidden="1"/>
    <col min="12290" max="12290" width="2.625" style="1937" hidden="1"/>
    <col min="12291" max="12291" width="18" style="1937" hidden="1"/>
    <col min="12292" max="12292" width="9.25" style="1937" hidden="1"/>
    <col min="12293" max="12293" width="13.75" style="1937" hidden="1"/>
    <col min="12294" max="12294" width="6.875" style="1937" hidden="1"/>
    <col min="12295" max="12295" width="5.5" style="1937" hidden="1"/>
    <col min="12296" max="12296" width="7.375" style="1937" hidden="1"/>
    <col min="12297" max="12297" width="11" style="1937" hidden="1"/>
    <col min="12298" max="12298" width="12.25" style="1937" hidden="1"/>
    <col min="12299" max="12299" width="12.5" style="1937" hidden="1"/>
    <col min="12300" max="12300" width="12.25" style="1937" hidden="1"/>
    <col min="12301" max="12301" width="5.25" style="1937" hidden="1"/>
    <col min="12302" max="12302" width="7.5" style="1937" hidden="1"/>
    <col min="12303" max="12304" width="1.75" style="1937" hidden="1"/>
    <col min="12305" max="12307" width="0" style="1937" hidden="1"/>
    <col min="12308" max="12308" width="5.5" style="1937" hidden="1"/>
    <col min="12309" max="12309" width="7.375" style="1937" hidden="1"/>
    <col min="12310" max="12310" width="11" style="1937" hidden="1"/>
    <col min="12311" max="12506" width="10.625" style="1937" hidden="1"/>
    <col min="12507" max="12544" width="9" style="1937" hidden="1"/>
    <col min="12545" max="12545" width="2.875" style="1937" hidden="1"/>
    <col min="12546" max="12546" width="2.625" style="1937" hidden="1"/>
    <col min="12547" max="12547" width="18" style="1937" hidden="1"/>
    <col min="12548" max="12548" width="9.25" style="1937" hidden="1"/>
    <col min="12549" max="12549" width="13.75" style="1937" hidden="1"/>
    <col min="12550" max="12550" width="6.875" style="1937" hidden="1"/>
    <col min="12551" max="12551" width="5.5" style="1937" hidden="1"/>
    <col min="12552" max="12552" width="7.375" style="1937" hidden="1"/>
    <col min="12553" max="12553" width="11" style="1937" hidden="1"/>
    <col min="12554" max="12554" width="12.25" style="1937" hidden="1"/>
    <col min="12555" max="12555" width="12.5" style="1937" hidden="1"/>
    <col min="12556" max="12556" width="12.25" style="1937" hidden="1"/>
    <col min="12557" max="12557" width="5.25" style="1937" hidden="1"/>
    <col min="12558" max="12558" width="7.5" style="1937" hidden="1"/>
    <col min="12559" max="12560" width="1.75" style="1937" hidden="1"/>
    <col min="12561" max="12563" width="0" style="1937" hidden="1"/>
    <col min="12564" max="12564" width="5.5" style="1937" hidden="1"/>
    <col min="12565" max="12565" width="7.375" style="1937" hidden="1"/>
    <col min="12566" max="12566" width="11" style="1937" hidden="1"/>
    <col min="12567" max="12762" width="10.625" style="1937" hidden="1"/>
    <col min="12763" max="12800" width="9" style="1937" hidden="1"/>
    <col min="12801" max="12801" width="2.875" style="1937" hidden="1"/>
    <col min="12802" max="12802" width="2.625" style="1937" hidden="1"/>
    <col min="12803" max="12803" width="18" style="1937" hidden="1"/>
    <col min="12804" max="12804" width="9.25" style="1937" hidden="1"/>
    <col min="12805" max="12805" width="13.75" style="1937" hidden="1"/>
    <col min="12806" max="12806" width="6.875" style="1937" hidden="1"/>
    <col min="12807" max="12807" width="5.5" style="1937" hidden="1"/>
    <col min="12808" max="12808" width="7.375" style="1937" hidden="1"/>
    <col min="12809" max="12809" width="11" style="1937" hidden="1"/>
    <col min="12810" max="12810" width="12.25" style="1937" hidden="1"/>
    <col min="12811" max="12811" width="12.5" style="1937" hidden="1"/>
    <col min="12812" max="12812" width="12.25" style="1937" hidden="1"/>
    <col min="12813" max="12813" width="5.25" style="1937" hidden="1"/>
    <col min="12814" max="12814" width="7.5" style="1937" hidden="1"/>
    <col min="12815" max="12816" width="1.75" style="1937" hidden="1"/>
    <col min="12817" max="12819" width="0" style="1937" hidden="1"/>
    <col min="12820" max="12820" width="5.5" style="1937" hidden="1"/>
    <col min="12821" max="12821" width="7.375" style="1937" hidden="1"/>
    <col min="12822" max="12822" width="11" style="1937" hidden="1"/>
    <col min="12823" max="13018" width="10.625" style="1937" hidden="1"/>
    <col min="13019" max="13056" width="9" style="1937" hidden="1"/>
    <col min="13057" max="13057" width="2.875" style="1937" hidden="1"/>
    <col min="13058" max="13058" width="2.625" style="1937" hidden="1"/>
    <col min="13059" max="13059" width="18" style="1937" hidden="1"/>
    <col min="13060" max="13060" width="9.25" style="1937" hidden="1"/>
    <col min="13061" max="13061" width="13.75" style="1937" hidden="1"/>
    <col min="13062" max="13062" width="6.875" style="1937" hidden="1"/>
    <col min="13063" max="13063" width="5.5" style="1937" hidden="1"/>
    <col min="13064" max="13064" width="7.375" style="1937" hidden="1"/>
    <col min="13065" max="13065" width="11" style="1937" hidden="1"/>
    <col min="13066" max="13066" width="12.25" style="1937" hidden="1"/>
    <col min="13067" max="13067" width="12.5" style="1937" hidden="1"/>
    <col min="13068" max="13068" width="12.25" style="1937" hidden="1"/>
    <col min="13069" max="13069" width="5.25" style="1937" hidden="1"/>
    <col min="13070" max="13070" width="7.5" style="1937" hidden="1"/>
    <col min="13071" max="13072" width="1.75" style="1937" hidden="1"/>
    <col min="13073" max="13075" width="0" style="1937" hidden="1"/>
    <col min="13076" max="13076" width="5.5" style="1937" hidden="1"/>
    <col min="13077" max="13077" width="7.375" style="1937" hidden="1"/>
    <col min="13078" max="13078" width="11" style="1937" hidden="1"/>
    <col min="13079" max="13274" width="10.625" style="1937" hidden="1"/>
    <col min="13275" max="13312" width="9" style="1937" hidden="1"/>
    <col min="13313" max="13313" width="2.875" style="1937" hidden="1"/>
    <col min="13314" max="13314" width="2.625" style="1937" hidden="1"/>
    <col min="13315" max="13315" width="18" style="1937" hidden="1"/>
    <col min="13316" max="13316" width="9.25" style="1937" hidden="1"/>
    <col min="13317" max="13317" width="13.75" style="1937" hidden="1"/>
    <col min="13318" max="13318" width="6.875" style="1937" hidden="1"/>
    <col min="13319" max="13319" width="5.5" style="1937" hidden="1"/>
    <col min="13320" max="13320" width="7.375" style="1937" hidden="1"/>
    <col min="13321" max="13321" width="11" style="1937" hidden="1"/>
    <col min="13322" max="13322" width="12.25" style="1937" hidden="1"/>
    <col min="13323" max="13323" width="12.5" style="1937" hidden="1"/>
    <col min="13324" max="13324" width="12.25" style="1937" hidden="1"/>
    <col min="13325" max="13325" width="5.25" style="1937" hidden="1"/>
    <col min="13326" max="13326" width="7.5" style="1937" hidden="1"/>
    <col min="13327" max="13328" width="1.75" style="1937" hidden="1"/>
    <col min="13329" max="13331" width="0" style="1937" hidden="1"/>
    <col min="13332" max="13332" width="5.5" style="1937" hidden="1"/>
    <col min="13333" max="13333" width="7.375" style="1937" hidden="1"/>
    <col min="13334" max="13334" width="11" style="1937" hidden="1"/>
    <col min="13335" max="13530" width="10.625" style="1937" hidden="1"/>
    <col min="13531" max="13568" width="9" style="1937" hidden="1"/>
    <col min="13569" max="13569" width="2.875" style="1937" hidden="1"/>
    <col min="13570" max="13570" width="2.625" style="1937" hidden="1"/>
    <col min="13571" max="13571" width="18" style="1937" hidden="1"/>
    <col min="13572" max="13572" width="9.25" style="1937" hidden="1"/>
    <col min="13573" max="13573" width="13.75" style="1937" hidden="1"/>
    <col min="13574" max="13574" width="6.875" style="1937" hidden="1"/>
    <col min="13575" max="13575" width="5.5" style="1937" hidden="1"/>
    <col min="13576" max="13576" width="7.375" style="1937" hidden="1"/>
    <col min="13577" max="13577" width="11" style="1937" hidden="1"/>
    <col min="13578" max="13578" width="12.25" style="1937" hidden="1"/>
    <col min="13579" max="13579" width="12.5" style="1937" hidden="1"/>
    <col min="13580" max="13580" width="12.25" style="1937" hidden="1"/>
    <col min="13581" max="13581" width="5.25" style="1937" hidden="1"/>
    <col min="13582" max="13582" width="7.5" style="1937" hidden="1"/>
    <col min="13583" max="13584" width="1.75" style="1937" hidden="1"/>
    <col min="13585" max="13587" width="0" style="1937" hidden="1"/>
    <col min="13588" max="13588" width="5.5" style="1937" hidden="1"/>
    <col min="13589" max="13589" width="7.375" style="1937" hidden="1"/>
    <col min="13590" max="13590" width="11" style="1937" hidden="1"/>
    <col min="13591" max="13786" width="10.625" style="1937" hidden="1"/>
    <col min="13787" max="13824" width="9" style="1937" hidden="1"/>
    <col min="13825" max="13825" width="2.875" style="1937" hidden="1"/>
    <col min="13826" max="13826" width="2.625" style="1937" hidden="1"/>
    <col min="13827" max="13827" width="18" style="1937" hidden="1"/>
    <col min="13828" max="13828" width="9.25" style="1937" hidden="1"/>
    <col min="13829" max="13829" width="13.75" style="1937" hidden="1"/>
    <col min="13830" max="13830" width="6.875" style="1937" hidden="1"/>
    <col min="13831" max="13831" width="5.5" style="1937" hidden="1"/>
    <col min="13832" max="13832" width="7.375" style="1937" hidden="1"/>
    <col min="13833" max="13833" width="11" style="1937" hidden="1"/>
    <col min="13834" max="13834" width="12.25" style="1937" hidden="1"/>
    <col min="13835" max="13835" width="12.5" style="1937" hidden="1"/>
    <col min="13836" max="13836" width="12.25" style="1937" hidden="1"/>
    <col min="13837" max="13837" width="5.25" style="1937" hidden="1"/>
    <col min="13838" max="13838" width="7.5" style="1937" hidden="1"/>
    <col min="13839" max="13840" width="1.75" style="1937" hidden="1"/>
    <col min="13841" max="13843" width="0" style="1937" hidden="1"/>
    <col min="13844" max="13844" width="5.5" style="1937" hidden="1"/>
    <col min="13845" max="13845" width="7.375" style="1937" hidden="1"/>
    <col min="13846" max="13846" width="11" style="1937" hidden="1"/>
    <col min="13847" max="14042" width="10.625" style="1937" hidden="1"/>
    <col min="14043" max="14080" width="9" style="1937" hidden="1"/>
    <col min="14081" max="14081" width="2.875" style="1937" hidden="1"/>
    <col min="14082" max="14082" width="2.625" style="1937" hidden="1"/>
    <col min="14083" max="14083" width="18" style="1937" hidden="1"/>
    <col min="14084" max="14084" width="9.25" style="1937" hidden="1"/>
    <col min="14085" max="14085" width="13.75" style="1937" hidden="1"/>
    <col min="14086" max="14086" width="6.875" style="1937" hidden="1"/>
    <col min="14087" max="14087" width="5.5" style="1937" hidden="1"/>
    <col min="14088" max="14088" width="7.375" style="1937" hidden="1"/>
    <col min="14089" max="14089" width="11" style="1937" hidden="1"/>
    <col min="14090" max="14090" width="12.25" style="1937" hidden="1"/>
    <col min="14091" max="14091" width="12.5" style="1937" hidden="1"/>
    <col min="14092" max="14092" width="12.25" style="1937" hidden="1"/>
    <col min="14093" max="14093" width="5.25" style="1937" hidden="1"/>
    <col min="14094" max="14094" width="7.5" style="1937" hidden="1"/>
    <col min="14095" max="14096" width="1.75" style="1937" hidden="1"/>
    <col min="14097" max="14099" width="0" style="1937" hidden="1"/>
    <col min="14100" max="14100" width="5.5" style="1937" hidden="1"/>
    <col min="14101" max="14101" width="7.375" style="1937" hidden="1"/>
    <col min="14102" max="14102" width="11" style="1937" hidden="1"/>
    <col min="14103" max="14298" width="10.625" style="1937" hidden="1"/>
    <col min="14299" max="14336" width="9" style="1937" hidden="1"/>
    <col min="14337" max="14337" width="2.875" style="1937" hidden="1"/>
    <col min="14338" max="14338" width="2.625" style="1937" hidden="1"/>
    <col min="14339" max="14339" width="18" style="1937" hidden="1"/>
    <col min="14340" max="14340" width="9.25" style="1937" hidden="1"/>
    <col min="14341" max="14341" width="13.75" style="1937" hidden="1"/>
    <col min="14342" max="14342" width="6.875" style="1937" hidden="1"/>
    <col min="14343" max="14343" width="5.5" style="1937" hidden="1"/>
    <col min="14344" max="14344" width="7.375" style="1937" hidden="1"/>
    <col min="14345" max="14345" width="11" style="1937" hidden="1"/>
    <col min="14346" max="14346" width="12.25" style="1937" hidden="1"/>
    <col min="14347" max="14347" width="12.5" style="1937" hidden="1"/>
    <col min="14348" max="14348" width="12.25" style="1937" hidden="1"/>
    <col min="14349" max="14349" width="5.25" style="1937" hidden="1"/>
    <col min="14350" max="14350" width="7.5" style="1937" hidden="1"/>
    <col min="14351" max="14352" width="1.75" style="1937" hidden="1"/>
    <col min="14353" max="14355" width="0" style="1937" hidden="1"/>
    <col min="14356" max="14356" width="5.5" style="1937" hidden="1"/>
    <col min="14357" max="14357" width="7.375" style="1937" hidden="1"/>
    <col min="14358" max="14358" width="11" style="1937" hidden="1"/>
    <col min="14359" max="14554" width="10.625" style="1937" hidden="1"/>
    <col min="14555" max="14592" width="9" style="1937" hidden="1"/>
    <col min="14593" max="14593" width="2.875" style="1937" hidden="1"/>
    <col min="14594" max="14594" width="2.625" style="1937" hidden="1"/>
    <col min="14595" max="14595" width="18" style="1937" hidden="1"/>
    <col min="14596" max="14596" width="9.25" style="1937" hidden="1"/>
    <col min="14597" max="14597" width="13.75" style="1937" hidden="1"/>
    <col min="14598" max="14598" width="6.875" style="1937" hidden="1"/>
    <col min="14599" max="14599" width="5.5" style="1937" hidden="1"/>
    <col min="14600" max="14600" width="7.375" style="1937" hidden="1"/>
    <col min="14601" max="14601" width="11" style="1937" hidden="1"/>
    <col min="14602" max="14602" width="12.25" style="1937" hidden="1"/>
    <col min="14603" max="14603" width="12.5" style="1937" hidden="1"/>
    <col min="14604" max="14604" width="12.25" style="1937" hidden="1"/>
    <col min="14605" max="14605" width="5.25" style="1937" hidden="1"/>
    <col min="14606" max="14606" width="7.5" style="1937" hidden="1"/>
    <col min="14607" max="14608" width="1.75" style="1937" hidden="1"/>
    <col min="14609" max="14611" width="0" style="1937" hidden="1"/>
    <col min="14612" max="14612" width="5.5" style="1937" hidden="1"/>
    <col min="14613" max="14613" width="7.375" style="1937" hidden="1"/>
    <col min="14614" max="14614" width="11" style="1937" hidden="1"/>
    <col min="14615" max="14810" width="10.625" style="1937" hidden="1"/>
    <col min="14811" max="14848" width="9" style="1937" hidden="1"/>
    <col min="14849" max="14849" width="2.875" style="1937" hidden="1"/>
    <col min="14850" max="14850" width="2.625" style="1937" hidden="1"/>
    <col min="14851" max="14851" width="18" style="1937" hidden="1"/>
    <col min="14852" max="14852" width="9.25" style="1937" hidden="1"/>
    <col min="14853" max="14853" width="13.75" style="1937" hidden="1"/>
    <col min="14854" max="14854" width="6.875" style="1937" hidden="1"/>
    <col min="14855" max="14855" width="5.5" style="1937" hidden="1"/>
    <col min="14856" max="14856" width="7.375" style="1937" hidden="1"/>
    <col min="14857" max="14857" width="11" style="1937" hidden="1"/>
    <col min="14858" max="14858" width="12.25" style="1937" hidden="1"/>
    <col min="14859" max="14859" width="12.5" style="1937" hidden="1"/>
    <col min="14860" max="14860" width="12.25" style="1937" hidden="1"/>
    <col min="14861" max="14861" width="5.25" style="1937" hidden="1"/>
    <col min="14862" max="14862" width="7.5" style="1937" hidden="1"/>
    <col min="14863" max="14864" width="1.75" style="1937" hidden="1"/>
    <col min="14865" max="14867" width="0" style="1937" hidden="1"/>
    <col min="14868" max="14868" width="5.5" style="1937" hidden="1"/>
    <col min="14869" max="14869" width="7.375" style="1937" hidden="1"/>
    <col min="14870" max="14870" width="11" style="1937" hidden="1"/>
    <col min="14871" max="15066" width="10.625" style="1937" hidden="1"/>
    <col min="15067" max="15104" width="9" style="1937" hidden="1"/>
    <col min="15105" max="15105" width="2.875" style="1937" hidden="1"/>
    <col min="15106" max="15106" width="2.625" style="1937" hidden="1"/>
    <col min="15107" max="15107" width="18" style="1937" hidden="1"/>
    <col min="15108" max="15108" width="9.25" style="1937" hidden="1"/>
    <col min="15109" max="15109" width="13.75" style="1937" hidden="1"/>
    <col min="15110" max="15110" width="6.875" style="1937" hidden="1"/>
    <col min="15111" max="15111" width="5.5" style="1937" hidden="1"/>
    <col min="15112" max="15112" width="7.375" style="1937" hidden="1"/>
    <col min="15113" max="15113" width="11" style="1937" hidden="1"/>
    <col min="15114" max="15114" width="12.25" style="1937" hidden="1"/>
    <col min="15115" max="15115" width="12.5" style="1937" hidden="1"/>
    <col min="15116" max="15116" width="12.25" style="1937" hidden="1"/>
    <col min="15117" max="15117" width="5.25" style="1937" hidden="1"/>
    <col min="15118" max="15118" width="7.5" style="1937" hidden="1"/>
    <col min="15119" max="15120" width="1.75" style="1937" hidden="1"/>
    <col min="15121" max="15123" width="0" style="1937" hidden="1"/>
    <col min="15124" max="15124" width="5.5" style="1937" hidden="1"/>
    <col min="15125" max="15125" width="7.375" style="1937" hidden="1"/>
    <col min="15126" max="15126" width="11" style="1937" hidden="1"/>
    <col min="15127" max="15322" width="10.625" style="1937" hidden="1"/>
    <col min="15323" max="15360" width="9" style="1937" hidden="1"/>
    <col min="15361" max="15361" width="2.875" style="1937" hidden="1"/>
    <col min="15362" max="15362" width="2.625" style="1937" hidden="1"/>
    <col min="15363" max="15363" width="18" style="1937" hidden="1"/>
    <col min="15364" max="15364" width="9.25" style="1937" hidden="1"/>
    <col min="15365" max="15365" width="13.75" style="1937" hidden="1"/>
    <col min="15366" max="15366" width="6.875" style="1937" hidden="1"/>
    <col min="15367" max="15367" width="5.5" style="1937" hidden="1"/>
    <col min="15368" max="15368" width="7.375" style="1937" hidden="1"/>
    <col min="15369" max="15369" width="11" style="1937" hidden="1"/>
    <col min="15370" max="15370" width="12.25" style="1937" hidden="1"/>
    <col min="15371" max="15371" width="12.5" style="1937" hidden="1"/>
    <col min="15372" max="15372" width="12.25" style="1937" hidden="1"/>
    <col min="15373" max="15373" width="5.25" style="1937" hidden="1"/>
    <col min="15374" max="15374" width="7.5" style="1937" hidden="1"/>
    <col min="15375" max="15376" width="1.75" style="1937" hidden="1"/>
    <col min="15377" max="15379" width="0" style="1937" hidden="1"/>
    <col min="15380" max="15380" width="5.5" style="1937" hidden="1"/>
    <col min="15381" max="15381" width="7.375" style="1937" hidden="1"/>
    <col min="15382" max="15382" width="11" style="1937" hidden="1"/>
    <col min="15383" max="15578" width="10.625" style="1937" hidden="1"/>
    <col min="15579" max="15616" width="9" style="1937" hidden="1"/>
    <col min="15617" max="15617" width="2.875" style="1937" hidden="1"/>
    <col min="15618" max="15618" width="2.625" style="1937" hidden="1"/>
    <col min="15619" max="15619" width="18" style="1937" hidden="1"/>
    <col min="15620" max="15620" width="9.25" style="1937" hidden="1"/>
    <col min="15621" max="15621" width="13.75" style="1937" hidden="1"/>
    <col min="15622" max="15622" width="6.875" style="1937" hidden="1"/>
    <col min="15623" max="15623" width="5.5" style="1937" hidden="1"/>
    <col min="15624" max="15624" width="7.375" style="1937" hidden="1"/>
    <col min="15625" max="15625" width="11" style="1937" hidden="1"/>
    <col min="15626" max="15626" width="12.25" style="1937" hidden="1"/>
    <col min="15627" max="15627" width="12.5" style="1937" hidden="1"/>
    <col min="15628" max="15628" width="12.25" style="1937" hidden="1"/>
    <col min="15629" max="15629" width="5.25" style="1937" hidden="1"/>
    <col min="15630" max="15630" width="7.5" style="1937" hidden="1"/>
    <col min="15631" max="15632" width="1.75" style="1937" hidden="1"/>
    <col min="15633" max="15635" width="0" style="1937" hidden="1"/>
    <col min="15636" max="15636" width="5.5" style="1937" hidden="1"/>
    <col min="15637" max="15637" width="7.375" style="1937" hidden="1"/>
    <col min="15638" max="15638" width="11" style="1937" hidden="1"/>
    <col min="15639" max="15834" width="10.625" style="1937" hidden="1"/>
    <col min="15835" max="15872" width="9" style="1937" hidden="1"/>
    <col min="15873" max="15873" width="2.875" style="1937" hidden="1"/>
    <col min="15874" max="15874" width="2.625" style="1937" hidden="1"/>
    <col min="15875" max="15875" width="18" style="1937" hidden="1"/>
    <col min="15876" max="15876" width="9.25" style="1937" hidden="1"/>
    <col min="15877" max="15877" width="13.75" style="1937" hidden="1"/>
    <col min="15878" max="15878" width="6.875" style="1937" hidden="1"/>
    <col min="15879" max="15879" width="5.5" style="1937" hidden="1"/>
    <col min="15880" max="15880" width="7.375" style="1937" hidden="1"/>
    <col min="15881" max="15881" width="11" style="1937" hidden="1"/>
    <col min="15882" max="15882" width="12.25" style="1937" hidden="1"/>
    <col min="15883" max="15883" width="12.5" style="1937" hidden="1"/>
    <col min="15884" max="15884" width="12.25" style="1937" hidden="1"/>
    <col min="15885" max="15885" width="5.25" style="1937" hidden="1"/>
    <col min="15886" max="15886" width="7.5" style="1937" hidden="1"/>
    <col min="15887" max="15888" width="1.75" style="1937" hidden="1"/>
    <col min="15889" max="15891" width="0" style="1937" hidden="1"/>
    <col min="15892" max="15892" width="5.5" style="1937" hidden="1"/>
    <col min="15893" max="15893" width="7.375" style="1937" hidden="1"/>
    <col min="15894" max="15894" width="11" style="1937" hidden="1"/>
    <col min="15895" max="16090" width="10.625" style="1937" hidden="1"/>
    <col min="16091" max="16128" width="9" style="1937" hidden="1"/>
    <col min="16129" max="16129" width="2.875" style="1937" hidden="1"/>
    <col min="16130" max="16130" width="2.625" style="1937" hidden="1"/>
    <col min="16131" max="16131" width="18" style="1937" hidden="1"/>
    <col min="16132" max="16132" width="9.25" style="1937" hidden="1"/>
    <col min="16133" max="16133" width="13.75" style="1937" hidden="1"/>
    <col min="16134" max="16134" width="6.875" style="1937" hidden="1"/>
    <col min="16135" max="16135" width="5.5" style="1937" hidden="1"/>
    <col min="16136" max="16136" width="7.375" style="1937" hidden="1"/>
    <col min="16137" max="16137" width="11" style="1937" hidden="1"/>
    <col min="16138" max="16138" width="12.25" style="1937" hidden="1"/>
    <col min="16139" max="16139" width="12.5" style="1937" hidden="1"/>
    <col min="16140" max="16140" width="12.25" style="1937" hidden="1"/>
    <col min="16141" max="16141" width="5.25" style="1937" hidden="1"/>
    <col min="16142" max="16142" width="7.5" style="1937" hidden="1"/>
    <col min="16143" max="16144" width="1.75" style="1937" hidden="1"/>
    <col min="16145" max="16147" width="0" style="1937" hidden="1"/>
    <col min="16148" max="16148" width="5.5" style="1937" hidden="1"/>
    <col min="16149" max="16149" width="7.375" style="1937" hidden="1"/>
    <col min="16150" max="16150" width="11" style="1937" hidden="1"/>
    <col min="16151" max="16346" width="10.625" style="1937" hidden="1"/>
    <col min="16347" max="16384" width="9" style="1937" hidden="1"/>
  </cols>
  <sheetData>
    <row r="1" spans="1:22" ht="13.5" thickBot="1">
      <c r="B1" s="1935"/>
      <c r="C1" s="1935"/>
      <c r="D1" s="1935"/>
      <c r="E1" s="1935"/>
      <c r="F1" s="1935"/>
      <c r="G1" s="1935"/>
      <c r="H1" s="1935"/>
      <c r="I1" s="1935"/>
      <c r="J1" s="1935"/>
      <c r="K1" s="1935"/>
      <c r="L1" s="1935"/>
      <c r="M1" s="1935"/>
      <c r="N1" s="1935"/>
      <c r="V1" s="1935"/>
    </row>
    <row r="2" spans="1:22" ht="12" customHeight="1" thickBot="1">
      <c r="A2" s="1938"/>
      <c r="B2" s="1939"/>
      <c r="C2" s="1939"/>
      <c r="D2" s="1939"/>
      <c r="E2" s="1939"/>
      <c r="F2" s="1939"/>
      <c r="G2" s="1939"/>
      <c r="H2" s="1939"/>
      <c r="I2" s="1939"/>
      <c r="J2" s="1939"/>
      <c r="K2" s="1939"/>
      <c r="L2" s="1939"/>
      <c r="M2" s="1940"/>
      <c r="N2" s="1941"/>
      <c r="O2" s="1942"/>
      <c r="P2" s="1943"/>
      <c r="Q2" s="1944" t="s">
        <v>1290</v>
      </c>
      <c r="R2" s="1938" t="s">
        <v>1291</v>
      </c>
      <c r="V2" s="1936"/>
    </row>
    <row r="3" spans="1:22" ht="12" customHeight="1" thickBot="1">
      <c r="A3" s="1938"/>
      <c r="B3" s="1945"/>
      <c r="C3" s="1945"/>
      <c r="D3" s="1945"/>
      <c r="E3" s="1945"/>
      <c r="F3" s="1945"/>
      <c r="G3" s="1945"/>
      <c r="H3" s="1946"/>
      <c r="I3" s="1946"/>
      <c r="J3" s="1947"/>
      <c r="K3" s="1947"/>
      <c r="L3" s="1945"/>
      <c r="M3" s="1948"/>
      <c r="N3" s="1949"/>
      <c r="O3" s="1942"/>
      <c r="P3" s="1943"/>
      <c r="Q3" s="1944" t="s">
        <v>1292</v>
      </c>
      <c r="R3" s="1938" t="s">
        <v>1293</v>
      </c>
      <c r="V3" s="1936"/>
    </row>
    <row r="4" spans="1:22" ht="12" customHeight="1" thickBot="1">
      <c r="A4" s="1938"/>
      <c r="B4" s="1945"/>
      <c r="C4" s="1945"/>
      <c r="D4" s="1945"/>
      <c r="E4" s="1945"/>
      <c r="F4" s="1945"/>
      <c r="G4" s="1945"/>
      <c r="H4" s="1946"/>
      <c r="I4" s="1946"/>
      <c r="J4" s="1947"/>
      <c r="K4" s="1947"/>
      <c r="L4" s="1945"/>
      <c r="M4" s="1948"/>
      <c r="N4" s="1949"/>
      <c r="O4" s="1942"/>
      <c r="P4" s="1943"/>
      <c r="Q4" s="1944" t="s">
        <v>724</v>
      </c>
      <c r="R4" s="1938" t="s">
        <v>1294</v>
      </c>
      <c r="V4" s="1936"/>
    </row>
    <row r="5" spans="1:22" ht="12" customHeight="1" thickBot="1">
      <c r="A5" s="1938"/>
      <c r="B5" s="1945"/>
      <c r="C5" s="1945"/>
      <c r="D5" s="1945"/>
      <c r="E5" s="1945"/>
      <c r="F5" s="1945"/>
      <c r="G5" s="1945"/>
      <c r="H5" s="1946"/>
      <c r="I5" s="1946"/>
      <c r="J5" s="1947"/>
      <c r="K5" s="1947"/>
      <c r="L5" s="1945"/>
      <c r="M5" s="1948"/>
      <c r="N5" s="1949"/>
      <c r="O5" s="1942"/>
      <c r="P5" s="1943"/>
      <c r="Q5" s="1944" t="s">
        <v>1295</v>
      </c>
      <c r="R5" s="1938" t="s">
        <v>1296</v>
      </c>
      <c r="V5" s="1936"/>
    </row>
    <row r="6" spans="1:22" ht="14.45" customHeight="1" thickBot="1">
      <c r="A6" s="1938"/>
      <c r="B6" s="1945"/>
      <c r="C6" s="1950"/>
      <c r="D6" s="1951"/>
      <c r="E6" s="1952" t="s">
        <v>1297</v>
      </c>
      <c r="F6" s="2640" t="s">
        <v>1413</v>
      </c>
      <c r="G6" s="2641"/>
      <c r="H6" s="2641"/>
      <c r="I6" s="2641"/>
      <c r="J6" s="2641"/>
      <c r="K6" s="2642"/>
      <c r="L6" s="1953"/>
      <c r="M6" s="1948"/>
      <c r="N6" s="1954"/>
      <c r="O6" s="1942"/>
      <c r="P6" s="1943"/>
      <c r="Q6" s="1944" t="s">
        <v>722</v>
      </c>
      <c r="R6" s="1938" t="s">
        <v>1298</v>
      </c>
      <c r="V6" s="1936"/>
    </row>
    <row r="7" spans="1:22" ht="6" customHeight="1" thickBot="1">
      <c r="A7" s="1938"/>
      <c r="B7" s="1955"/>
      <c r="C7" s="1956"/>
      <c r="D7" s="2643"/>
      <c r="E7" s="2643"/>
      <c r="F7" s="2643"/>
      <c r="G7" s="2643"/>
      <c r="H7" s="1957"/>
      <c r="I7" s="1958"/>
      <c r="J7" s="2644"/>
      <c r="K7" s="2645"/>
      <c r="L7" s="2645"/>
      <c r="M7" s="1959"/>
      <c r="N7" s="1959"/>
      <c r="O7" s="1942"/>
      <c r="P7" s="1943"/>
      <c r="V7" s="1936"/>
    </row>
    <row r="8" spans="1:22" ht="15" thickBot="1">
      <c r="A8" s="1938"/>
      <c r="B8" s="1960" t="s">
        <v>1299</v>
      </c>
      <c r="C8" s="872"/>
      <c r="D8" s="872"/>
      <c r="E8" s="872"/>
      <c r="F8" s="872"/>
      <c r="G8" s="872"/>
      <c r="H8" s="872"/>
      <c r="I8" s="872"/>
      <c r="J8" s="872"/>
      <c r="K8" s="872"/>
      <c r="L8" s="872"/>
      <c r="M8" s="872"/>
      <c r="N8" s="1961"/>
      <c r="O8" s="1942"/>
      <c r="P8" s="1943"/>
      <c r="Q8" s="1962" t="s">
        <v>1300</v>
      </c>
      <c r="R8" s="1963"/>
      <c r="V8" s="1936"/>
    </row>
    <row r="9" spans="1:22" ht="18" customHeight="1">
      <c r="A9" s="1938"/>
      <c r="B9" s="1964"/>
      <c r="C9" s="1965" t="s">
        <v>1301</v>
      </c>
      <c r="D9" s="1966"/>
      <c r="E9" s="2646">
        <f>メイン!C10</f>
        <v>0</v>
      </c>
      <c r="F9" s="2646"/>
      <c r="G9" s="2646"/>
      <c r="H9" s="2646"/>
      <c r="I9" s="2647" t="s">
        <v>720</v>
      </c>
      <c r="J9" s="2648" t="e">
        <f>結果!S13</f>
        <v>#VALUE!</v>
      </c>
      <c r="K9" s="2650" t="e">
        <f>CHOOSE(結果!$S$15*5,"C","B-","B+","A","S")</f>
        <v>#VALUE!</v>
      </c>
      <c r="L9" s="2652" t="e">
        <f>VLOOKUP(K9,Q2:R6,2,FALSE)</f>
        <v>#VALUE!</v>
      </c>
      <c r="M9" s="2652"/>
      <c r="N9" s="2653"/>
      <c r="O9" s="1942"/>
      <c r="P9" s="1943"/>
      <c r="Q9" s="1967" t="s">
        <v>1302</v>
      </c>
      <c r="R9" s="1962"/>
      <c r="V9" s="1936"/>
    </row>
    <row r="10" spans="1:22" ht="18" customHeight="1" thickBot="1">
      <c r="A10" s="1968"/>
      <c r="B10" s="1964"/>
      <c r="C10" s="1965" t="s">
        <v>1303</v>
      </c>
      <c r="D10" s="1966"/>
      <c r="E10" s="2216">
        <f>メイン!C22</f>
        <v>0</v>
      </c>
      <c r="F10" s="1966" t="s">
        <v>1304</v>
      </c>
      <c r="G10" s="2126"/>
      <c r="H10" s="1966"/>
      <c r="I10" s="2647"/>
      <c r="J10" s="2649"/>
      <c r="K10" s="2651"/>
      <c r="L10" s="2652"/>
      <c r="M10" s="2652"/>
      <c r="N10" s="2653"/>
      <c r="O10" s="1942"/>
      <c r="P10" s="1943"/>
      <c r="Q10" s="1967" t="s">
        <v>1305</v>
      </c>
      <c r="R10" s="1962"/>
      <c r="T10" s="1938"/>
      <c r="U10" s="1938"/>
      <c r="V10" s="1936"/>
    </row>
    <row r="11" spans="1:22" ht="18" customHeight="1" thickBot="1">
      <c r="A11" s="1968"/>
      <c r="B11" s="1969"/>
      <c r="C11" s="1970" t="s">
        <v>1306</v>
      </c>
      <c r="D11" s="1971"/>
      <c r="E11" s="2654" t="str">
        <f>メイン!C6</f>
        <v>CASBEE京都 戸建-新築(2015年版)</v>
      </c>
      <c r="F11" s="2654"/>
      <c r="G11" s="2654"/>
      <c r="H11" s="2654"/>
      <c r="I11" s="1970"/>
      <c r="J11" s="1972" t="s">
        <v>1307</v>
      </c>
      <c r="K11" s="2654" t="str">
        <f>メイン!C5</f>
        <v>CASBEE京都 戸建-新築2015(v.1.0)</v>
      </c>
      <c r="L11" s="2654"/>
      <c r="M11" s="2654"/>
      <c r="N11" s="2655"/>
      <c r="O11" s="1942"/>
      <c r="P11" s="1943"/>
      <c r="Q11" s="1967" t="s">
        <v>1308</v>
      </c>
      <c r="R11" s="1962"/>
      <c r="V11" s="1936"/>
    </row>
    <row r="12" spans="1:22" ht="6.75" customHeight="1" thickBot="1">
      <c r="A12" s="1938"/>
      <c r="B12" s="1973"/>
      <c r="C12" s="1973"/>
      <c r="D12" s="1973"/>
      <c r="E12" s="1973"/>
      <c r="F12" s="1973"/>
      <c r="G12" s="1973"/>
      <c r="H12" s="1973"/>
      <c r="I12" s="1973"/>
      <c r="J12" s="1973"/>
      <c r="K12" s="1973"/>
      <c r="L12" s="1973"/>
      <c r="M12" s="1974"/>
      <c r="N12" s="1975"/>
      <c r="O12" s="1942"/>
      <c r="P12" s="1943"/>
      <c r="Q12" s="1976"/>
      <c r="V12" s="1936"/>
    </row>
    <row r="13" spans="1:22" ht="15" customHeight="1">
      <c r="A13" s="1938"/>
      <c r="B13" s="1977" t="s">
        <v>1309</v>
      </c>
      <c r="C13" s="1978"/>
      <c r="D13" s="1979"/>
      <c r="E13" s="1979"/>
      <c r="F13" s="1980"/>
      <c r="G13" s="1981"/>
      <c r="H13" s="1982"/>
      <c r="I13" s="1981"/>
      <c r="J13" s="1981"/>
      <c r="K13" s="1981"/>
      <c r="L13" s="1981"/>
      <c r="M13" s="1983"/>
      <c r="N13" s="1984"/>
      <c r="O13" s="1942"/>
      <c r="P13" s="1943"/>
      <c r="Q13" s="1976"/>
      <c r="V13" s="1936"/>
    </row>
    <row r="14" spans="1:22" ht="14.25" thickBot="1">
      <c r="A14" s="1938"/>
      <c r="B14" s="1985" t="s">
        <v>1310</v>
      </c>
      <c r="C14" s="1986"/>
      <c r="D14" s="1987"/>
      <c r="E14" s="1987"/>
      <c r="F14" s="1987"/>
      <c r="G14" s="1986"/>
      <c r="H14" s="1988"/>
      <c r="I14" s="1989" t="s">
        <v>1311</v>
      </c>
      <c r="J14" s="1986"/>
      <c r="K14" s="1986"/>
      <c r="L14" s="1986"/>
      <c r="M14" s="1986"/>
      <c r="N14" s="1990"/>
      <c r="O14" s="1942"/>
      <c r="P14" s="1943"/>
      <c r="Q14" s="1976"/>
      <c r="V14" s="1936"/>
    </row>
    <row r="15" spans="1:22" ht="15" customHeight="1" thickBot="1">
      <c r="A15" s="1938"/>
      <c r="B15" s="1991"/>
      <c r="C15" s="2656"/>
      <c r="D15" s="2656"/>
      <c r="E15" s="2193"/>
      <c r="F15" s="1992"/>
      <c r="G15" s="1992"/>
      <c r="H15" s="1993"/>
      <c r="I15" s="1994"/>
      <c r="J15" s="1995"/>
      <c r="K15" s="1995"/>
      <c r="L15" s="1995"/>
      <c r="M15" s="1996"/>
      <c r="N15" s="1997"/>
      <c r="O15" s="1998"/>
      <c r="P15" s="1999"/>
      <c r="Q15" s="2000">
        <f>ROUND(M26,1)</f>
        <v>38</v>
      </c>
      <c r="V15" s="1936"/>
    </row>
    <row r="16" spans="1:22" ht="30" customHeight="1" thickBot="1">
      <c r="A16" s="1938"/>
      <c r="B16" s="1991"/>
      <c r="C16" s="2657" t="s">
        <v>1312</v>
      </c>
      <c r="D16" s="2657"/>
      <c r="E16" s="2194"/>
      <c r="F16" s="2001"/>
      <c r="G16" s="2001"/>
      <c r="H16" s="2002"/>
      <c r="I16" s="2003"/>
      <c r="J16" s="2004"/>
      <c r="K16" s="2004"/>
      <c r="L16" s="2004"/>
      <c r="M16" s="2005"/>
      <c r="N16" s="2006"/>
      <c r="O16" s="2007"/>
      <c r="P16" s="2008"/>
      <c r="Q16" s="2009">
        <f>IF(Q15&gt;N26*0.85,5,IF(Q15&gt;N26*0.7,4,IF(Q15&gt;N26*0.55,3,IF(Q15&gt;N26*0.4,2,1))))</f>
        <v>2</v>
      </c>
      <c r="V16" s="1936"/>
    </row>
    <row r="17" spans="1:22" ht="15" customHeight="1" thickBot="1">
      <c r="A17" s="1938"/>
      <c r="B17" s="2010"/>
      <c r="C17" s="2011"/>
      <c r="D17" s="2012"/>
      <c r="E17" s="2012"/>
      <c r="F17" s="2013"/>
      <c r="G17" s="2013"/>
      <c r="H17" s="2014"/>
      <c r="I17" s="2015"/>
      <c r="J17" s="2015"/>
      <c r="K17" s="2015"/>
      <c r="L17" s="2015"/>
      <c r="M17" s="2016"/>
      <c r="N17" s="2017"/>
      <c r="O17" s="2007"/>
      <c r="P17" s="2008"/>
      <c r="Q17" s="1976"/>
      <c r="V17" s="1936"/>
    </row>
    <row r="18" spans="1:22" ht="15" customHeight="1" thickBot="1">
      <c r="A18" s="1938"/>
      <c r="B18" s="2018"/>
      <c r="C18" s="2658"/>
      <c r="D18" s="2658"/>
      <c r="E18" s="2195"/>
      <c r="F18" s="2019"/>
      <c r="G18" s="2019"/>
      <c r="H18" s="2020"/>
      <c r="I18" s="1994"/>
      <c r="J18" s="1995"/>
      <c r="K18" s="1995"/>
      <c r="L18" s="1995"/>
      <c r="M18" s="1996"/>
      <c r="N18" s="1997"/>
      <c r="O18" s="2007"/>
      <c r="P18" s="2008"/>
      <c r="Q18" s="2021">
        <f>ROUND($M$53,1)</f>
        <v>16</v>
      </c>
      <c r="V18" s="1936"/>
    </row>
    <row r="19" spans="1:22" ht="30" customHeight="1" thickBot="1">
      <c r="A19" s="1938"/>
      <c r="B19" s="2022"/>
      <c r="C19" s="2639" t="s">
        <v>1313</v>
      </c>
      <c r="D19" s="2639"/>
      <c r="E19" s="2192"/>
      <c r="F19" s="2023"/>
      <c r="G19" s="2023"/>
      <c r="H19" s="2024"/>
      <c r="I19" s="2003"/>
      <c r="J19" s="2004"/>
      <c r="K19" s="2004"/>
      <c r="L19" s="2004"/>
      <c r="M19" s="2005"/>
      <c r="N19" s="2006"/>
      <c r="O19" s="2007"/>
      <c r="P19" s="2008"/>
      <c r="Q19" s="2025">
        <f>IF(Q18&gt;N53*0.85,5,IF(Q18&gt;N53*0.7,4,IF(Q18&gt;N53*0.55,3,IF(Q18&gt;N53*0.4,2,1))))</f>
        <v>2</v>
      </c>
      <c r="V19" s="1936"/>
    </row>
    <row r="20" spans="1:22" ht="15" customHeight="1" thickBot="1">
      <c r="A20" s="1938"/>
      <c r="B20" s="2026"/>
      <c r="C20" s="2660"/>
      <c r="D20" s="2660"/>
      <c r="E20" s="2189"/>
      <c r="F20" s="2027"/>
      <c r="G20" s="2027"/>
      <c r="H20" s="2028"/>
      <c r="I20" s="2015"/>
      <c r="J20" s="2015"/>
      <c r="K20" s="2015"/>
      <c r="L20" s="2015"/>
      <c r="M20" s="2016"/>
      <c r="N20" s="2017"/>
      <c r="O20" s="2007"/>
      <c r="P20" s="2008"/>
      <c r="Q20" s="1976"/>
      <c r="V20" s="1936"/>
    </row>
    <row r="21" spans="1:22" ht="15" customHeight="1" thickBot="1">
      <c r="A21" s="1938"/>
      <c r="B21" s="2029"/>
      <c r="C21" s="2661"/>
      <c r="D21" s="2661"/>
      <c r="E21" s="2190"/>
      <c r="F21" s="2030"/>
      <c r="G21" s="2030"/>
      <c r="H21" s="2031"/>
      <c r="I21" s="1994"/>
      <c r="J21" s="1995"/>
      <c r="K21" s="1995"/>
      <c r="L21" s="1995"/>
      <c r="M21" s="1996"/>
      <c r="N21" s="1997"/>
      <c r="O21" s="2007"/>
      <c r="P21" s="2008"/>
      <c r="Q21" s="2032">
        <f>ROUND($M$66,1)</f>
        <v>28</v>
      </c>
      <c r="V21" s="1936"/>
    </row>
    <row r="22" spans="1:22" ht="30" customHeight="1" thickBot="1">
      <c r="A22" s="1938"/>
      <c r="B22" s="2033"/>
      <c r="C22" s="2662" t="s">
        <v>1314</v>
      </c>
      <c r="D22" s="2662"/>
      <c r="E22" s="2662"/>
      <c r="F22" s="2662"/>
      <c r="G22" s="2034"/>
      <c r="H22" s="2035"/>
      <c r="I22" s="2003"/>
      <c r="J22" s="2004"/>
      <c r="K22" s="2004"/>
      <c r="L22" s="2004"/>
      <c r="M22" s="2005"/>
      <c r="N22" s="2006"/>
      <c r="O22" s="2007"/>
      <c r="P22" s="2008"/>
      <c r="Q22" s="2036">
        <f>IF(Q21&gt;N66*0.85,5,IF(Q21&gt;N66*0.7,4,IF(Q21&gt;N66*0.55,3,IF(Q21&gt;N66*0.4,2,1))))</f>
        <v>2</v>
      </c>
      <c r="V22" s="1936"/>
    </row>
    <row r="23" spans="1:22" ht="15" customHeight="1" thickBot="1">
      <c r="A23" s="1938"/>
      <c r="B23" s="2037"/>
      <c r="C23" s="2663"/>
      <c r="D23" s="2663"/>
      <c r="E23" s="2191"/>
      <c r="F23" s="2038"/>
      <c r="G23" s="2038"/>
      <c r="H23" s="2039"/>
      <c r="I23" s="2040"/>
      <c r="J23" s="2040"/>
      <c r="K23" s="2040"/>
      <c r="L23" s="2040"/>
      <c r="M23" s="2041"/>
      <c r="N23" s="2042"/>
      <c r="O23" s="2007"/>
      <c r="P23" s="2008"/>
      <c r="Q23" s="1976"/>
      <c r="V23" s="1935"/>
    </row>
    <row r="24" spans="1:22" ht="6" customHeight="1" thickBot="1">
      <c r="A24" s="1938"/>
      <c r="B24" s="2043"/>
      <c r="C24" s="2043"/>
      <c r="D24" s="2043"/>
      <c r="E24" s="2043"/>
      <c r="F24" s="2043"/>
      <c r="G24" s="2043"/>
      <c r="H24" s="2043"/>
      <c r="I24" s="2043"/>
      <c r="J24" s="2043"/>
      <c r="K24" s="2043"/>
      <c r="L24" s="2043"/>
      <c r="M24" s="2044"/>
      <c r="N24" s="2045"/>
      <c r="O24" s="1942"/>
      <c r="P24" s="1943"/>
      <c r="Q24" s="1976"/>
    </row>
    <row r="25" spans="1:22" ht="15" customHeight="1">
      <c r="A25" s="1938"/>
      <c r="B25" s="2047" t="s">
        <v>1315</v>
      </c>
      <c r="C25" s="2048"/>
      <c r="D25" s="2049"/>
      <c r="E25" s="2049"/>
      <c r="F25" s="2050"/>
      <c r="G25" s="2049"/>
      <c r="H25" s="2051"/>
      <c r="I25" s="2052"/>
      <c r="J25" s="2049"/>
      <c r="K25" s="2049"/>
      <c r="L25" s="2049"/>
      <c r="M25" s="2049"/>
      <c r="N25" s="2053"/>
      <c r="O25" s="1942"/>
      <c r="P25" s="1943"/>
      <c r="Q25" s="1976"/>
    </row>
    <row r="26" spans="1:22" ht="15" customHeight="1">
      <c r="A26" s="1938"/>
      <c r="B26" s="2054">
        <v>1</v>
      </c>
      <c r="C26" s="2055" t="s">
        <v>1316</v>
      </c>
      <c r="D26" s="2056"/>
      <c r="E26" s="2056"/>
      <c r="F26" s="2056"/>
      <c r="G26" s="2056"/>
      <c r="H26" s="2056"/>
      <c r="I26" s="2056"/>
      <c r="J26" s="2056"/>
      <c r="K26" s="2056"/>
      <c r="L26" s="2057" t="s">
        <v>1317</v>
      </c>
      <c r="M26" s="2058">
        <f>SUM(M27,M38,M45)</f>
        <v>38</v>
      </c>
      <c r="N26" s="2059">
        <f>SUM(N27,N38,N45)</f>
        <v>72</v>
      </c>
      <c r="O26" s="1942"/>
      <c r="P26" s="1943"/>
      <c r="Q26" s="1976"/>
    </row>
    <row r="27" spans="1:22" ht="15" customHeight="1">
      <c r="A27" s="1938"/>
      <c r="B27" s="2060"/>
      <c r="C27" s="2061" t="s">
        <v>1318</v>
      </c>
      <c r="D27" s="2062"/>
      <c r="E27" s="2062"/>
      <c r="F27" s="2062"/>
      <c r="G27" s="2062"/>
      <c r="H27" s="2062"/>
      <c r="I27" s="2062"/>
      <c r="J27" s="2062"/>
      <c r="K27" s="2062"/>
      <c r="L27" s="2063" t="s">
        <v>1319</v>
      </c>
      <c r="M27" s="2064">
        <f>SUM(H29:H31,H35,N29,N35)</f>
        <v>17</v>
      </c>
      <c r="N27" s="2065">
        <f>30-SUM(Q29:Q35)</f>
        <v>30</v>
      </c>
      <c r="O27" s="1942"/>
      <c r="P27" s="1943"/>
      <c r="Q27" s="1976"/>
    </row>
    <row r="28" spans="1:22" ht="12" customHeight="1" thickBot="1">
      <c r="A28" s="1938"/>
      <c r="B28" s="2066"/>
      <c r="C28" s="2067" t="s">
        <v>1320</v>
      </c>
      <c r="D28" s="2068"/>
      <c r="E28" s="2068"/>
      <c r="F28" s="2068"/>
      <c r="G28" s="2068"/>
      <c r="H28" s="2069"/>
      <c r="I28" s="2070" t="s">
        <v>1321</v>
      </c>
      <c r="J28" s="2068"/>
      <c r="K28" s="2068"/>
      <c r="L28" s="2068"/>
      <c r="M28" s="2068"/>
      <c r="N28" s="2071"/>
      <c r="O28" s="1942"/>
      <c r="P28" s="1943"/>
      <c r="Q28" s="1976"/>
    </row>
    <row r="29" spans="1:22" ht="12" customHeight="1" thickBot="1">
      <c r="A29" s="1938"/>
      <c r="B29" s="2066"/>
      <c r="C29" s="2072" t="s">
        <v>1322</v>
      </c>
      <c r="D29" s="2073"/>
      <c r="E29" s="2073"/>
      <c r="F29" s="2072"/>
      <c r="G29" s="2074" t="s">
        <v>1323</v>
      </c>
      <c r="H29" s="2217">
        <f>IF(スコア!O32=0,"対象外",スコア!O32)</f>
        <v>3</v>
      </c>
      <c r="I29" s="2072" t="s">
        <v>1324</v>
      </c>
      <c r="J29" s="1944"/>
      <c r="K29" s="1944"/>
      <c r="L29" s="2072"/>
      <c r="M29" s="2074" t="s">
        <v>1323</v>
      </c>
      <c r="N29" s="2217">
        <f>IF(スコア!O31=0,"対象外",スコア!O31)</f>
        <v>3</v>
      </c>
      <c r="O29" s="1942"/>
      <c r="P29" s="1943"/>
      <c r="Q29" s="2075">
        <f>IF(H29="対象外",5,0)</f>
        <v>0</v>
      </c>
    </row>
    <row r="30" spans="1:22" ht="12" customHeight="1" thickBot="1">
      <c r="A30" s="1938"/>
      <c r="B30" s="2066"/>
      <c r="C30" s="2072" t="s">
        <v>1325</v>
      </c>
      <c r="D30" s="2073"/>
      <c r="E30" s="2073"/>
      <c r="F30" s="2072"/>
      <c r="G30" s="2074" t="s">
        <v>1323</v>
      </c>
      <c r="H30" s="2217">
        <f>IF(スコア!O33=0,"対象外",スコア!O33)</f>
        <v>2</v>
      </c>
      <c r="I30" s="2072"/>
      <c r="J30" s="1944"/>
      <c r="K30" s="1944"/>
      <c r="L30" s="2072"/>
      <c r="M30" s="2074"/>
      <c r="N30" s="2076"/>
      <c r="O30" s="1942"/>
      <c r="P30" s="1943"/>
      <c r="Q30" s="2075">
        <f>IF(H30="対象外",5,0)</f>
        <v>0</v>
      </c>
    </row>
    <row r="31" spans="1:22" ht="12" customHeight="1" thickBot="1">
      <c r="A31" s="1938"/>
      <c r="B31" s="2066"/>
      <c r="C31" s="2072" t="s">
        <v>1326</v>
      </c>
      <c r="D31" s="2073"/>
      <c r="E31" s="2073"/>
      <c r="F31" s="2072"/>
      <c r="G31" s="2074" t="s">
        <v>1323</v>
      </c>
      <c r="H31" s="2218">
        <f>IF(スコア!O39=0,"対象外",スコア!O39)</f>
        <v>3</v>
      </c>
      <c r="I31" s="2072"/>
      <c r="J31" s="1944"/>
      <c r="K31" s="1944"/>
      <c r="L31" s="2072"/>
      <c r="M31" s="2074"/>
      <c r="N31" s="2077"/>
      <c r="O31" s="1942"/>
      <c r="P31" s="1943"/>
      <c r="Q31" s="2075">
        <f>IF(H31="対象外",5,0)</f>
        <v>0</v>
      </c>
    </row>
    <row r="32" spans="1:22" ht="12" customHeight="1">
      <c r="A32" s="1938"/>
      <c r="B32" s="2078"/>
      <c r="C32" s="2664" t="s">
        <v>1327</v>
      </c>
      <c r="D32" s="2664"/>
      <c r="E32" s="2664"/>
      <c r="F32" s="2664"/>
      <c r="G32" s="2664"/>
      <c r="H32" s="2664"/>
      <c r="I32" s="2664" t="s">
        <v>1327</v>
      </c>
      <c r="J32" s="2664"/>
      <c r="K32" s="2664"/>
      <c r="L32" s="2664"/>
      <c r="M32" s="2664"/>
      <c r="N32" s="2664"/>
      <c r="O32" s="1942"/>
      <c r="P32" s="1943"/>
      <c r="Q32" s="2075">
        <f>IF(N29="対象外",5,0)</f>
        <v>0</v>
      </c>
    </row>
    <row r="33" spans="1:17" ht="12" customHeight="1" thickBot="1">
      <c r="A33" s="1938"/>
      <c r="B33" s="2078"/>
      <c r="C33" s="2665"/>
      <c r="D33" s="2665"/>
      <c r="E33" s="2665"/>
      <c r="F33" s="2665"/>
      <c r="G33" s="2665"/>
      <c r="H33" s="2665"/>
      <c r="I33" s="2665"/>
      <c r="J33" s="2665"/>
      <c r="K33" s="2665"/>
      <c r="L33" s="2665"/>
      <c r="M33" s="2665"/>
      <c r="N33" s="2665"/>
      <c r="O33" s="1942"/>
      <c r="P33" s="1943"/>
    </row>
    <row r="34" spans="1:17" ht="12" customHeight="1" thickBot="1">
      <c r="A34" s="1938"/>
      <c r="B34" s="2066"/>
      <c r="C34" s="2079" t="s">
        <v>1328</v>
      </c>
      <c r="D34" s="2072"/>
      <c r="E34" s="2072"/>
      <c r="F34" s="2072"/>
      <c r="G34" s="2072"/>
      <c r="H34" s="2080"/>
      <c r="I34" s="2081" t="s">
        <v>1329</v>
      </c>
      <c r="J34" s="2072"/>
      <c r="K34" s="2072"/>
      <c r="L34" s="2072"/>
      <c r="M34" s="2072"/>
      <c r="N34" s="2076"/>
      <c r="O34" s="1942"/>
      <c r="P34" s="1943"/>
      <c r="Q34" s="2082">
        <f>IF(H35="対象外",5,0)</f>
        <v>0</v>
      </c>
    </row>
    <row r="35" spans="1:17" ht="12" customHeight="1" thickBot="1">
      <c r="A35" s="1938"/>
      <c r="B35" s="2066"/>
      <c r="C35" s="2083" t="s">
        <v>1330</v>
      </c>
      <c r="D35" s="2073"/>
      <c r="E35" s="2073"/>
      <c r="F35" s="2072"/>
      <c r="G35" s="2084" t="s">
        <v>1331</v>
      </c>
      <c r="H35" s="2218">
        <f>IF(スコア!O43=0,"対象外",スコア!O43)</f>
        <v>3</v>
      </c>
      <c r="I35" s="2072" t="s">
        <v>1332</v>
      </c>
      <c r="J35" s="1944"/>
      <c r="K35" s="1944"/>
      <c r="L35" s="2072"/>
      <c r="M35" s="2074" t="s">
        <v>1323</v>
      </c>
      <c r="N35" s="2218">
        <f>IF(スコア!O40=0,"対象外",スコア!O40)</f>
        <v>3</v>
      </c>
      <c r="O35" s="1942"/>
      <c r="P35" s="1943"/>
      <c r="Q35" s="2082">
        <f>IF(N35="対象外",5,0)</f>
        <v>0</v>
      </c>
    </row>
    <row r="36" spans="1:17" ht="12" customHeight="1">
      <c r="A36" s="1938"/>
      <c r="B36" s="2078" t="s">
        <v>1333</v>
      </c>
      <c r="C36" s="2664" t="s">
        <v>1334</v>
      </c>
      <c r="D36" s="2664"/>
      <c r="E36" s="2664"/>
      <c r="F36" s="2664"/>
      <c r="G36" s="2664"/>
      <c r="H36" s="2664"/>
      <c r="I36" s="2664" t="s">
        <v>1327</v>
      </c>
      <c r="J36" s="2664"/>
      <c r="K36" s="2664"/>
      <c r="L36" s="2664"/>
      <c r="M36" s="2664"/>
      <c r="N36" s="2664"/>
      <c r="O36" s="1942"/>
      <c r="P36" s="1943"/>
      <c r="Q36" s="2072"/>
    </row>
    <row r="37" spans="1:17" ht="12" customHeight="1" thickBot="1">
      <c r="A37" s="1938"/>
      <c r="B37" s="2078"/>
      <c r="C37" s="2665"/>
      <c r="D37" s="2665"/>
      <c r="E37" s="2665"/>
      <c r="F37" s="2665"/>
      <c r="G37" s="2665"/>
      <c r="H37" s="2665"/>
      <c r="I37" s="2665"/>
      <c r="J37" s="2665"/>
      <c r="K37" s="2665"/>
      <c r="L37" s="2665"/>
      <c r="M37" s="2665"/>
      <c r="N37" s="2665"/>
      <c r="O37" s="1942"/>
      <c r="P37" s="1943"/>
      <c r="Q37" s="2072"/>
    </row>
    <row r="38" spans="1:17" ht="15" customHeight="1" thickBot="1">
      <c r="A38" s="1938"/>
      <c r="B38" s="2060"/>
      <c r="C38" s="2085" t="s">
        <v>1335</v>
      </c>
      <c r="D38" s="2086"/>
      <c r="E38" s="2062"/>
      <c r="F38" s="2086"/>
      <c r="G38" s="2086"/>
      <c r="H38" s="2062"/>
      <c r="I38" s="2086"/>
      <c r="J38" s="2086"/>
      <c r="K38" s="2086"/>
      <c r="L38" s="2087" t="s">
        <v>1319</v>
      </c>
      <c r="M38" s="2088">
        <f>SUM(N39:N41,H39:H42)</f>
        <v>21</v>
      </c>
      <c r="N38" s="2065">
        <f>35-SUM(Q38:Q44)</f>
        <v>35</v>
      </c>
      <c r="O38" s="1942"/>
      <c r="P38" s="1943"/>
      <c r="Q38" s="2082">
        <f>IF(H39="対象外",5,0)</f>
        <v>0</v>
      </c>
    </row>
    <row r="39" spans="1:17" ht="12" customHeight="1" thickBot="1">
      <c r="A39" s="1938"/>
      <c r="B39" s="2066"/>
      <c r="C39" s="2072" t="s">
        <v>1336</v>
      </c>
      <c r="D39" s="1935"/>
      <c r="E39" s="2219" t="str">
        <f>IF(COUNTIF(採点LR2!G8:I8,MAX(採点LR2!G8:I8))=3,INDEX(Q9:Q11,MATCH(MAX(スコア!O65:O67),スコア!O65:O67,0),),IF(COUNTIF(採点LR2!G8:I8,MAX(採点LR2!G8:I8))=2,IF(MAX(採点LR2!G8:I8)=採点LR2!G8,IF(採点LR2!G8=採点LR2!H8,IF(スコア!O65&gt;=スコア!O66,独自ｼｽﾃﾑ!Q9,独自ｼｽﾃﾑ!Q10),IF(スコア!O65&gt;=スコア!O67,独自ｼｽﾃﾑ!Q9,独自ｼｽﾃﾑ!Q11)),IF(スコア!O66&gt;=スコア!O67,独自ｼｽﾃﾑ!Q10,独自ｼｽﾃﾑ!Q11)),INDEX(Q9:Q11,MATCH(MAX(採点LR2!G8:I8),採点LR2!G8:I8,0),)))</f>
        <v>1 木質系住宅</v>
      </c>
      <c r="F39" s="2072"/>
      <c r="G39" s="2084" t="s">
        <v>1331</v>
      </c>
      <c r="H39" s="2217">
        <f>IF(スコア!O64=0,"対象外",スコア!O64)</f>
        <v>3</v>
      </c>
      <c r="I39" s="2072" t="s">
        <v>1337</v>
      </c>
      <c r="J39" s="1944"/>
      <c r="K39" s="1944"/>
      <c r="L39" s="2072"/>
      <c r="M39" s="2074" t="s">
        <v>1338</v>
      </c>
      <c r="N39" s="2217">
        <f>IF(スコア!O73=0,"対象外",スコア!O73)</f>
        <v>3</v>
      </c>
      <c r="O39" s="1942"/>
      <c r="P39" s="1943"/>
      <c r="Q39" s="2082">
        <f>IF(H40="対象外",5,0)</f>
        <v>0</v>
      </c>
    </row>
    <row r="40" spans="1:17" ht="12" customHeight="1" thickBot="1">
      <c r="A40" s="1938"/>
      <c r="B40" s="2066"/>
      <c r="C40" s="2072" t="s">
        <v>1339</v>
      </c>
      <c r="D40" s="2073"/>
      <c r="E40" s="2073"/>
      <c r="F40" s="2072"/>
      <c r="G40" s="2084" t="s">
        <v>1331</v>
      </c>
      <c r="H40" s="2217">
        <f>IF(スコア!O69=0,"対象外",スコア!O69)</f>
        <v>3</v>
      </c>
      <c r="I40" s="2072" t="s">
        <v>1340</v>
      </c>
      <c r="J40" s="1944"/>
      <c r="K40" s="1944"/>
      <c r="L40" s="2072"/>
      <c r="M40" s="2074" t="s">
        <v>1323</v>
      </c>
      <c r="N40" s="2217">
        <f>IF(スコア!O74=0,"対象外",スコア!O74)</f>
        <v>3</v>
      </c>
      <c r="O40" s="1942"/>
      <c r="P40" s="1943"/>
      <c r="Q40" s="2082">
        <f>IF(H41="対象外",5,0)</f>
        <v>0</v>
      </c>
    </row>
    <row r="41" spans="1:17" ht="12" customHeight="1" thickBot="1">
      <c r="A41" s="1938"/>
      <c r="B41" s="2066"/>
      <c r="C41" s="2072" t="s">
        <v>1341</v>
      </c>
      <c r="D41" s="2073"/>
      <c r="E41" s="2073"/>
      <c r="F41" s="2072"/>
      <c r="G41" s="2084" t="s">
        <v>1331</v>
      </c>
      <c r="H41" s="2217">
        <f>IF(スコア!O70=0,"対象外",スコア!O70)</f>
        <v>3</v>
      </c>
      <c r="I41" s="2072" t="s">
        <v>1342</v>
      </c>
      <c r="J41" s="1944"/>
      <c r="K41" s="1944"/>
      <c r="L41" s="2072"/>
      <c r="M41" s="2074" t="s">
        <v>1338</v>
      </c>
      <c r="N41" s="2217">
        <f>IF(スコア!O77=0,"対象外",スコア!O77)</f>
        <v>3</v>
      </c>
      <c r="O41" s="1942"/>
      <c r="P41" s="1943"/>
      <c r="Q41" s="2082">
        <f>IF(H42="対象外",5,0)</f>
        <v>0</v>
      </c>
    </row>
    <row r="42" spans="1:17" ht="12" customHeight="1" thickBot="1">
      <c r="A42" s="1938"/>
      <c r="B42" s="2066"/>
      <c r="C42" s="2083" t="s">
        <v>1343</v>
      </c>
      <c r="D42" s="2073"/>
      <c r="E42" s="2073"/>
      <c r="F42" s="2072"/>
      <c r="G42" s="2084" t="s">
        <v>1331</v>
      </c>
      <c r="H42" s="2218">
        <f>IF(スコア!O71=0,"対象外",スコア!O71)</f>
        <v>3</v>
      </c>
      <c r="I42" s="2072"/>
      <c r="J42" s="1944"/>
      <c r="K42" s="1944"/>
      <c r="L42" s="2072"/>
      <c r="M42" s="2074"/>
      <c r="N42" s="2077"/>
      <c r="O42" s="1942"/>
      <c r="P42" s="1943"/>
      <c r="Q42" s="2082">
        <f>IF(N39="対象外",5,0)</f>
        <v>0</v>
      </c>
    </row>
    <row r="43" spans="1:17" ht="12" customHeight="1">
      <c r="A43" s="1938"/>
      <c r="B43" s="2078" t="s">
        <v>1344</v>
      </c>
      <c r="C43" s="2666" t="s">
        <v>1334</v>
      </c>
      <c r="D43" s="2667"/>
      <c r="E43" s="2667"/>
      <c r="F43" s="2667"/>
      <c r="G43" s="2667"/>
      <c r="H43" s="2667"/>
      <c r="I43" s="2667"/>
      <c r="J43" s="2667"/>
      <c r="K43" s="2667"/>
      <c r="L43" s="2667"/>
      <c r="M43" s="2667"/>
      <c r="N43" s="2668"/>
      <c r="O43" s="1942"/>
      <c r="P43" s="1943"/>
      <c r="Q43" s="2082">
        <f>IF(N40="対象外",5,0)</f>
        <v>0</v>
      </c>
    </row>
    <row r="44" spans="1:17" ht="12" customHeight="1" thickBot="1">
      <c r="A44" s="1938"/>
      <c r="B44" s="2078"/>
      <c r="C44" s="2669"/>
      <c r="D44" s="2670"/>
      <c r="E44" s="2670"/>
      <c r="F44" s="2670"/>
      <c r="G44" s="2670"/>
      <c r="H44" s="2670"/>
      <c r="I44" s="2670"/>
      <c r="J44" s="2670"/>
      <c r="K44" s="2670"/>
      <c r="L44" s="2670"/>
      <c r="M44" s="2670"/>
      <c r="N44" s="2671"/>
      <c r="O44" s="1942"/>
      <c r="P44" s="1943"/>
      <c r="Q44" s="2082">
        <f>IF(N41="対象外",5,0)</f>
        <v>0</v>
      </c>
    </row>
    <row r="45" spans="1:17" ht="15" customHeight="1" thickBot="1">
      <c r="A45" s="1938"/>
      <c r="B45" s="2089"/>
      <c r="C45" s="2090" t="s">
        <v>1345</v>
      </c>
      <c r="D45" s="2091"/>
      <c r="E45" s="2091"/>
      <c r="F45" s="2091"/>
      <c r="G45" s="2091"/>
      <c r="H45" s="2091"/>
      <c r="I45" s="2091"/>
      <c r="J45" s="2091"/>
      <c r="K45" s="2091"/>
      <c r="L45" s="2087" t="s">
        <v>1319</v>
      </c>
      <c r="M45" s="2092">
        <f>COUNTIF(N46:N52,"○")</f>
        <v>0</v>
      </c>
      <c r="N45" s="2065">
        <f>7-SUM(Q46:Q52)</f>
        <v>7</v>
      </c>
      <c r="O45" s="1942"/>
      <c r="P45" s="1943"/>
      <c r="Q45" s="1976"/>
    </row>
    <row r="46" spans="1:17" ht="12" customHeight="1" thickBot="1">
      <c r="A46" s="1938"/>
      <c r="B46" s="2089"/>
      <c r="C46" s="2672" t="s">
        <v>1346</v>
      </c>
      <c r="D46" s="2673"/>
      <c r="E46" s="2674" t="s">
        <v>1347</v>
      </c>
      <c r="F46" s="2675"/>
      <c r="G46" s="2675"/>
      <c r="H46" s="2675"/>
      <c r="I46" s="2675"/>
      <c r="J46" s="2675"/>
      <c r="K46" s="2675"/>
      <c r="L46" s="2675"/>
      <c r="M46" s="2675"/>
      <c r="N46" s="2217" t="str">
        <f>採点Q2!E34</f>
        <v>　</v>
      </c>
      <c r="O46" s="1942"/>
      <c r="P46" s="1943"/>
      <c r="Q46" s="2082">
        <f>IF(N46="対象外",1,0)</f>
        <v>0</v>
      </c>
    </row>
    <row r="47" spans="1:17" ht="12" customHeight="1" thickBot="1">
      <c r="A47" s="1965"/>
      <c r="B47" s="2089"/>
      <c r="C47" s="2083" t="s">
        <v>1348</v>
      </c>
      <c r="D47" s="2072"/>
      <c r="E47" s="2659" t="s">
        <v>1463</v>
      </c>
      <c r="F47" s="2659"/>
      <c r="G47" s="2659"/>
      <c r="H47" s="2659"/>
      <c r="I47" s="2659"/>
      <c r="J47" s="2659"/>
      <c r="K47" s="2659"/>
      <c r="L47" s="2659"/>
      <c r="M47" s="2659"/>
      <c r="N47" s="2217" t="str">
        <f>採点LR2!E26</f>
        <v>　</v>
      </c>
      <c r="O47" s="1942"/>
      <c r="P47" s="1943"/>
      <c r="Q47" s="2082">
        <f t="shared" ref="Q47:Q52" si="0">IF(N47="対象外",1,0)</f>
        <v>0</v>
      </c>
    </row>
    <row r="48" spans="1:17" ht="12" customHeight="1" thickBot="1">
      <c r="A48" s="1965"/>
      <c r="B48" s="2089"/>
      <c r="C48" s="2627" t="s">
        <v>1349</v>
      </c>
      <c r="D48" s="2628"/>
      <c r="E48" s="2676" t="s">
        <v>1460</v>
      </c>
      <c r="F48" s="2677"/>
      <c r="G48" s="2677"/>
      <c r="H48" s="2677"/>
      <c r="I48" s="2677"/>
      <c r="J48" s="2677"/>
      <c r="K48" s="2677"/>
      <c r="L48" s="2677"/>
      <c r="M48" s="2677"/>
      <c r="N48" s="2217" t="str">
        <f>採点LR2!E103</f>
        <v>　</v>
      </c>
      <c r="O48" s="1942"/>
      <c r="P48" s="1943"/>
      <c r="Q48" s="2082">
        <f t="shared" si="0"/>
        <v>0</v>
      </c>
    </row>
    <row r="49" spans="1:17" ht="12" customHeight="1" thickBot="1">
      <c r="A49" s="1938"/>
      <c r="B49" s="2089"/>
      <c r="C49" s="2627" t="s">
        <v>1350</v>
      </c>
      <c r="D49" s="2628"/>
      <c r="E49" s="2625" t="s">
        <v>1461</v>
      </c>
      <c r="F49" s="2678"/>
      <c r="G49" s="2678"/>
      <c r="H49" s="2678"/>
      <c r="I49" s="2678"/>
      <c r="J49" s="2678"/>
      <c r="K49" s="2678"/>
      <c r="L49" s="2678"/>
      <c r="M49" s="2678"/>
      <c r="N49" s="2217" t="str">
        <f>採点LR2!E132</f>
        <v>　</v>
      </c>
      <c r="O49" s="1942"/>
      <c r="P49" s="1943"/>
      <c r="Q49" s="2082">
        <f t="shared" si="0"/>
        <v>0</v>
      </c>
    </row>
    <row r="50" spans="1:17" ht="12" customHeight="1" thickBot="1">
      <c r="A50" s="1938"/>
      <c r="B50" s="2089"/>
      <c r="C50" s="2627" t="s">
        <v>1351</v>
      </c>
      <c r="D50" s="2628"/>
      <c r="E50" s="2625" t="s">
        <v>1462</v>
      </c>
      <c r="F50" s="2678"/>
      <c r="G50" s="2678"/>
      <c r="H50" s="2678"/>
      <c r="I50" s="2678"/>
      <c r="J50" s="2678"/>
      <c r="K50" s="2678"/>
      <c r="L50" s="2678"/>
      <c r="M50" s="2678"/>
      <c r="N50" s="2217" t="str">
        <f>採点LR2!E154</f>
        <v>　</v>
      </c>
      <c r="O50" s="1942"/>
      <c r="P50" s="1943"/>
      <c r="Q50" s="2082">
        <f t="shared" si="0"/>
        <v>0</v>
      </c>
    </row>
    <row r="51" spans="1:17" ht="12" customHeight="1" thickBot="1">
      <c r="A51" s="1938"/>
      <c r="B51" s="2089"/>
      <c r="C51" s="2627" t="s">
        <v>1352</v>
      </c>
      <c r="D51" s="2628"/>
      <c r="E51" s="2625" t="s">
        <v>1353</v>
      </c>
      <c r="F51" s="2625"/>
      <c r="G51" s="2625"/>
      <c r="H51" s="2625"/>
      <c r="I51" s="2625"/>
      <c r="J51" s="2625"/>
      <c r="K51" s="2625"/>
      <c r="L51" s="2625"/>
      <c r="M51" s="2625"/>
      <c r="N51" s="2217" t="str">
        <f>採点LR2!E168</f>
        <v>　</v>
      </c>
      <c r="O51" s="1942"/>
      <c r="P51" s="1943"/>
      <c r="Q51" s="2082">
        <f t="shared" si="0"/>
        <v>0</v>
      </c>
    </row>
    <row r="52" spans="1:17" ht="12" customHeight="1" thickBot="1">
      <c r="A52" s="1938"/>
      <c r="B52" s="2093"/>
      <c r="C52" s="2627" t="s">
        <v>1354</v>
      </c>
      <c r="D52" s="2628"/>
      <c r="E52" s="2679" t="s">
        <v>1355</v>
      </c>
      <c r="F52" s="2680"/>
      <c r="G52" s="2680"/>
      <c r="H52" s="2680"/>
      <c r="I52" s="2680"/>
      <c r="J52" s="2680"/>
      <c r="K52" s="2680"/>
      <c r="L52" s="2680"/>
      <c r="M52" s="2680"/>
      <c r="N52" s="2217" t="str">
        <f>採点LR2!E181</f>
        <v>　</v>
      </c>
      <c r="O52" s="1942"/>
      <c r="P52" s="1943"/>
      <c r="Q52" s="2082">
        <f t="shared" si="0"/>
        <v>0</v>
      </c>
    </row>
    <row r="53" spans="1:17" ht="15" customHeight="1">
      <c r="A53" s="1938"/>
      <c r="B53" s="2094">
        <v>2</v>
      </c>
      <c r="C53" s="2095" t="s">
        <v>1356</v>
      </c>
      <c r="D53" s="2096"/>
      <c r="E53" s="2097"/>
      <c r="F53" s="2097"/>
      <c r="G53" s="2097"/>
      <c r="H53" s="2097"/>
      <c r="I53" s="2097"/>
      <c r="J53" s="2097"/>
      <c r="K53" s="2097"/>
      <c r="L53" s="2098" t="s">
        <v>1317</v>
      </c>
      <c r="M53" s="2099">
        <f>SUM(G54,M54,M61)</f>
        <v>16</v>
      </c>
      <c r="N53" s="2100">
        <f>SUM(H54,N54,N61)</f>
        <v>30</v>
      </c>
      <c r="O53" s="1942"/>
      <c r="P53" s="1943"/>
      <c r="Q53" s="2101"/>
    </row>
    <row r="54" spans="1:17" ht="15" customHeight="1">
      <c r="A54" s="1938"/>
      <c r="B54" s="2102"/>
      <c r="C54" s="2061" t="s">
        <v>1357</v>
      </c>
      <c r="D54" s="2062"/>
      <c r="E54" s="2062"/>
      <c r="F54" s="2063" t="s">
        <v>1358</v>
      </c>
      <c r="G54" s="2103">
        <f>SUM(H56:H57)</f>
        <v>6</v>
      </c>
      <c r="H54" s="2104">
        <f>10-SUM(Q54:Q55)</f>
        <v>10</v>
      </c>
      <c r="I54" s="2061" t="s">
        <v>1359</v>
      </c>
      <c r="J54" s="2062"/>
      <c r="K54" s="2062"/>
      <c r="L54" s="2063" t="s">
        <v>1360</v>
      </c>
      <c r="M54" s="2103">
        <f>SUM(N56:N58)</f>
        <v>8</v>
      </c>
      <c r="N54" s="2105">
        <f>15-SUM(Q56:Q58)</f>
        <v>15</v>
      </c>
      <c r="O54" s="1942"/>
      <c r="P54" s="1943"/>
      <c r="Q54" s="2082">
        <f>IF(H56="対象外",5,0)</f>
        <v>0</v>
      </c>
    </row>
    <row r="55" spans="1:17" ht="12" customHeight="1" thickBot="1">
      <c r="A55" s="1938"/>
      <c r="B55" s="2106"/>
      <c r="C55" s="2067" t="s">
        <v>1361</v>
      </c>
      <c r="D55" s="2068"/>
      <c r="E55" s="2068"/>
      <c r="F55" s="2068"/>
      <c r="G55" s="2068"/>
      <c r="H55" s="2069"/>
      <c r="I55" s="2067" t="s">
        <v>1362</v>
      </c>
      <c r="J55" s="2068"/>
      <c r="K55" s="2068"/>
      <c r="L55" s="2068"/>
      <c r="M55" s="2068"/>
      <c r="N55" s="2071"/>
      <c r="O55" s="1942"/>
      <c r="P55" s="1943"/>
      <c r="Q55" s="2082">
        <f>IF(H57="対象外",5,0)</f>
        <v>0</v>
      </c>
    </row>
    <row r="56" spans="1:17" ht="12" customHeight="1" thickBot="1">
      <c r="A56" s="1938"/>
      <c r="B56" s="2106"/>
      <c r="C56" s="2072" t="s">
        <v>1363</v>
      </c>
      <c r="D56" s="2073"/>
      <c r="E56" s="2073"/>
      <c r="F56" s="2072"/>
      <c r="G56" s="2084" t="s">
        <v>1331</v>
      </c>
      <c r="H56" s="2217">
        <f>IF(スコア!O47=0,"対象外",スコア!O47)</f>
        <v>3</v>
      </c>
      <c r="I56" s="2072" t="s">
        <v>1364</v>
      </c>
      <c r="J56" s="2072"/>
      <c r="K56" s="2072"/>
      <c r="L56" s="2072"/>
      <c r="M56" s="2074" t="s">
        <v>1365</v>
      </c>
      <c r="N56" s="2217">
        <f>IF(スコア!O49=0,"対象外",スコア!O49)</f>
        <v>2</v>
      </c>
      <c r="O56" s="1942"/>
      <c r="P56" s="1943"/>
      <c r="Q56" s="2082">
        <f>IF(N56="対象外",5,0)</f>
        <v>0</v>
      </c>
    </row>
    <row r="57" spans="1:17" ht="12" customHeight="1" thickBot="1">
      <c r="A57" s="1938"/>
      <c r="B57" s="2106"/>
      <c r="C57" s="2072" t="s">
        <v>1414</v>
      </c>
      <c r="D57" s="2073"/>
      <c r="E57" s="2073"/>
      <c r="F57" s="2072"/>
      <c r="G57" s="2084" t="s">
        <v>1331</v>
      </c>
      <c r="H57" s="2217">
        <f>IF(スコア!O60=0,"対象外",スコア!O60)</f>
        <v>3</v>
      </c>
      <c r="I57" s="2072" t="s">
        <v>1366</v>
      </c>
      <c r="J57" s="2072"/>
      <c r="K57" s="2072"/>
      <c r="L57" s="2072"/>
      <c r="M57" s="2074" t="s">
        <v>1365</v>
      </c>
      <c r="N57" s="2217">
        <f>IF(スコア!O85=0,"対象外",スコア!O85)</f>
        <v>3</v>
      </c>
      <c r="O57" s="1942"/>
      <c r="P57" s="1943"/>
      <c r="Q57" s="2082">
        <f>IF(N57="対象外",5,0)</f>
        <v>0</v>
      </c>
    </row>
    <row r="58" spans="1:17" ht="12" customHeight="1" thickBot="1">
      <c r="A58" s="1938"/>
      <c r="B58" s="2106"/>
      <c r="C58" s="2072"/>
      <c r="D58" s="2073"/>
      <c r="E58" s="2073"/>
      <c r="F58" s="2072"/>
      <c r="G58" s="2084"/>
      <c r="H58" s="2107"/>
      <c r="I58" s="2072" t="s">
        <v>1367</v>
      </c>
      <c r="J58" s="1944"/>
      <c r="K58" s="1944"/>
      <c r="L58" s="2072"/>
      <c r="M58" s="2074" t="s">
        <v>1365</v>
      </c>
      <c r="N58" s="2218">
        <f>IF(スコア!O86=0,"対象外",スコア!O86)</f>
        <v>3</v>
      </c>
      <c r="O58" s="1942"/>
      <c r="P58" s="1943"/>
      <c r="Q58" s="2082">
        <f>IF(N58="対象外",5,0)</f>
        <v>0</v>
      </c>
    </row>
    <row r="59" spans="1:17" ht="12" customHeight="1">
      <c r="A59" s="1938"/>
      <c r="B59" s="2108"/>
      <c r="C59" s="2664" t="s">
        <v>1368</v>
      </c>
      <c r="D59" s="2664"/>
      <c r="E59" s="2664"/>
      <c r="F59" s="2664"/>
      <c r="G59" s="2664"/>
      <c r="H59" s="2664"/>
      <c r="I59" s="2664" t="s">
        <v>1334</v>
      </c>
      <c r="J59" s="2664"/>
      <c r="K59" s="2664"/>
      <c r="L59" s="2664"/>
      <c r="M59" s="2664"/>
      <c r="N59" s="2664"/>
      <c r="O59" s="1942"/>
      <c r="P59" s="1943"/>
      <c r="Q59" s="1976"/>
    </row>
    <row r="60" spans="1:17" ht="12" customHeight="1" thickBot="1">
      <c r="A60" s="1938"/>
      <c r="B60" s="2108"/>
      <c r="C60" s="2665"/>
      <c r="D60" s="2665"/>
      <c r="E60" s="2665"/>
      <c r="F60" s="2665"/>
      <c r="G60" s="2665"/>
      <c r="H60" s="2665"/>
      <c r="I60" s="2665"/>
      <c r="J60" s="2665"/>
      <c r="K60" s="2665"/>
      <c r="L60" s="2665"/>
      <c r="M60" s="2665"/>
      <c r="N60" s="2665"/>
      <c r="O60" s="1942"/>
      <c r="P60" s="1943"/>
      <c r="Q60" s="1976"/>
    </row>
    <row r="61" spans="1:17" ht="15" customHeight="1">
      <c r="A61" s="1938"/>
      <c r="B61" s="2102"/>
      <c r="C61" s="2061" t="s">
        <v>1369</v>
      </c>
      <c r="D61" s="2062"/>
      <c r="E61" s="2062"/>
      <c r="F61" s="2062"/>
      <c r="G61" s="2062"/>
      <c r="H61" s="2062"/>
      <c r="I61" s="2062"/>
      <c r="J61" s="2062"/>
      <c r="K61" s="2062"/>
      <c r="L61" s="2063" t="s">
        <v>1358</v>
      </c>
      <c r="M61" s="2103">
        <f>SUM(H63)</f>
        <v>2</v>
      </c>
      <c r="N61" s="2105">
        <f>5-Q63</f>
        <v>5</v>
      </c>
      <c r="O61" s="1942"/>
      <c r="P61" s="1943"/>
      <c r="Q61" s="1976"/>
    </row>
    <row r="62" spans="1:17" ht="12" customHeight="1" thickBot="1">
      <c r="A62" s="1938"/>
      <c r="B62" s="2106"/>
      <c r="C62" s="2067" t="s">
        <v>1370</v>
      </c>
      <c r="D62" s="2068"/>
      <c r="E62" s="2068"/>
      <c r="F62" s="2068"/>
      <c r="G62" s="2068"/>
      <c r="H62" s="2068"/>
      <c r="I62" s="2067"/>
      <c r="J62" s="2068"/>
      <c r="K62" s="2068"/>
      <c r="L62" s="2068"/>
      <c r="M62" s="2068"/>
      <c r="N62" s="2071"/>
      <c r="O62" s="1942"/>
      <c r="P62" s="1943"/>
      <c r="Q62" s="1976"/>
    </row>
    <row r="63" spans="1:17" ht="12" customHeight="1" thickBot="1">
      <c r="A63" s="1938"/>
      <c r="B63" s="2106"/>
      <c r="C63" s="2081" t="s">
        <v>1371</v>
      </c>
      <c r="D63" s="2073"/>
      <c r="E63" s="2073"/>
      <c r="F63" s="2072"/>
      <c r="G63" s="2084" t="s">
        <v>1323</v>
      </c>
      <c r="H63" s="2218">
        <f>IF(スコア!O50=0,"対象外",スコア!O50)</f>
        <v>2</v>
      </c>
      <c r="I63" s="2072"/>
      <c r="J63" s="1944"/>
      <c r="K63" s="1944"/>
      <c r="L63" s="2072"/>
      <c r="M63" s="2074"/>
      <c r="N63" s="2077"/>
      <c r="O63" s="1942"/>
      <c r="P63" s="1943"/>
      <c r="Q63" s="2075">
        <f>IF(H63="対象外",5,0)</f>
        <v>0</v>
      </c>
    </row>
    <row r="64" spans="1:17" ht="12" customHeight="1">
      <c r="A64" s="1938"/>
      <c r="B64" s="2108"/>
      <c r="C64" s="2666" t="s">
        <v>1368</v>
      </c>
      <c r="D64" s="2667"/>
      <c r="E64" s="2667"/>
      <c r="F64" s="2667"/>
      <c r="G64" s="2667"/>
      <c r="H64" s="2667"/>
      <c r="I64" s="2667"/>
      <c r="J64" s="2667"/>
      <c r="K64" s="2667"/>
      <c r="L64" s="2667"/>
      <c r="M64" s="2667"/>
      <c r="N64" s="2668"/>
      <c r="O64" s="1942"/>
      <c r="P64" s="1943"/>
    </row>
    <row r="65" spans="1:22" ht="12" customHeight="1" thickBot="1">
      <c r="A65" s="1938"/>
      <c r="B65" s="2109"/>
      <c r="C65" s="2669"/>
      <c r="D65" s="2670"/>
      <c r="E65" s="2670"/>
      <c r="F65" s="2670"/>
      <c r="G65" s="2670"/>
      <c r="H65" s="2670"/>
      <c r="I65" s="2670"/>
      <c r="J65" s="2670"/>
      <c r="K65" s="2670"/>
      <c r="L65" s="2670"/>
      <c r="M65" s="2670"/>
      <c r="N65" s="2671"/>
      <c r="O65" s="1942"/>
      <c r="P65" s="1943"/>
      <c r="Q65" s="2072"/>
    </row>
    <row r="66" spans="1:22" ht="15" customHeight="1">
      <c r="A66" s="1938"/>
      <c r="B66" s="2110">
        <v>3</v>
      </c>
      <c r="C66" s="2111" t="s">
        <v>1372</v>
      </c>
      <c r="D66" s="2112"/>
      <c r="E66" s="2112"/>
      <c r="F66" s="2112"/>
      <c r="G66" s="2112"/>
      <c r="H66" s="2112"/>
      <c r="I66" s="2112"/>
      <c r="J66" s="2112"/>
      <c r="K66" s="2112"/>
      <c r="L66" s="2113" t="s">
        <v>1358</v>
      </c>
      <c r="M66" s="2114">
        <f>SUM(G67,M67,M76)</f>
        <v>28</v>
      </c>
      <c r="N66" s="2115">
        <f>SUM(H67,N67,N76)</f>
        <v>62</v>
      </c>
      <c r="O66" s="1942"/>
      <c r="P66" s="1943"/>
      <c r="Q66" s="2082">
        <f>IF(H68="対象外",5,0)</f>
        <v>0</v>
      </c>
    </row>
    <row r="67" spans="1:22" ht="15" customHeight="1" thickBot="1">
      <c r="A67" s="1938"/>
      <c r="B67" s="2116"/>
      <c r="C67" s="2117" t="s">
        <v>1373</v>
      </c>
      <c r="D67" s="2118"/>
      <c r="E67" s="2118"/>
      <c r="F67" s="2119" t="s">
        <v>1358</v>
      </c>
      <c r="G67" s="2120">
        <f>SUM(H68:H72)</f>
        <v>14</v>
      </c>
      <c r="H67" s="2121">
        <f>25-SUM(Q66:Q70)</f>
        <v>25</v>
      </c>
      <c r="I67" s="2122" t="s">
        <v>1374</v>
      </c>
      <c r="J67" s="2118"/>
      <c r="K67" s="2118"/>
      <c r="L67" s="2119" t="s">
        <v>1358</v>
      </c>
      <c r="M67" s="2120">
        <f>SUM(N68:N71)</f>
        <v>12</v>
      </c>
      <c r="N67" s="2105">
        <f>20-SUM(Q71:Q76)</f>
        <v>20</v>
      </c>
      <c r="O67" s="1942"/>
      <c r="P67" s="1943"/>
      <c r="Q67" s="2082">
        <f>IF(H69="対象外",5,0)</f>
        <v>0</v>
      </c>
    </row>
    <row r="68" spans="1:22" ht="12" customHeight="1" thickBot="1">
      <c r="A68" s="1938"/>
      <c r="B68" s="2123"/>
      <c r="C68" s="2079" t="s">
        <v>1371</v>
      </c>
      <c r="D68" s="2072"/>
      <c r="E68" s="2072"/>
      <c r="F68" s="2072"/>
      <c r="G68" s="2074" t="s">
        <v>1331</v>
      </c>
      <c r="H68" s="2217">
        <f>IF(スコア!O50=0,"対象外",スコア!O50)</f>
        <v>2</v>
      </c>
      <c r="I68" s="2124" t="s">
        <v>1375</v>
      </c>
      <c r="J68" s="2072"/>
      <c r="K68" s="2072"/>
      <c r="L68" s="2072"/>
      <c r="M68" s="2074" t="s">
        <v>1331</v>
      </c>
      <c r="N68" s="2217">
        <f>IF(スコア!O13=0,"対象外",スコア!O13)</f>
        <v>3</v>
      </c>
      <c r="O68" s="1942"/>
      <c r="P68" s="1943"/>
      <c r="Q68" s="2082">
        <f>IF(H70="対象外",5,0)</f>
        <v>0</v>
      </c>
    </row>
    <row r="69" spans="1:22" ht="12" customHeight="1" thickBot="1">
      <c r="A69" s="1938"/>
      <c r="B69" s="2123"/>
      <c r="C69" s="2072" t="s">
        <v>1376</v>
      </c>
      <c r="D69" s="2072"/>
      <c r="E69" s="2072"/>
      <c r="F69" s="2072"/>
      <c r="G69" s="2074" t="s">
        <v>1331</v>
      </c>
      <c r="H69" s="2217">
        <f>IF(スコア!O65=0,"対象外",スコア!O65)</f>
        <v>3</v>
      </c>
      <c r="I69" s="2124" t="s">
        <v>1377</v>
      </c>
      <c r="J69" s="2072"/>
      <c r="K69" s="2072"/>
      <c r="L69" s="2072"/>
      <c r="M69" s="2074" t="s">
        <v>1331</v>
      </c>
      <c r="N69" s="2217">
        <f>IF(スコア!O15=0,"対象外",スコア!O15)</f>
        <v>3</v>
      </c>
      <c r="O69" s="1942"/>
      <c r="P69" s="1943"/>
      <c r="Q69" s="2082">
        <f>IF(H71="対象外",5,0)</f>
        <v>0</v>
      </c>
    </row>
    <row r="70" spans="1:22" ht="12" customHeight="1" thickBot="1">
      <c r="A70" s="1968"/>
      <c r="B70" s="2123"/>
      <c r="C70" s="2072" t="s">
        <v>1339</v>
      </c>
      <c r="D70" s="2072"/>
      <c r="E70" s="2072"/>
      <c r="F70" s="2072"/>
      <c r="G70" s="2074" t="s">
        <v>1331</v>
      </c>
      <c r="H70" s="2217">
        <f>IF(スコア!O69=0,"対象外",スコア!O69)</f>
        <v>3</v>
      </c>
      <c r="I70" s="2124" t="s">
        <v>1378</v>
      </c>
      <c r="J70" s="2072"/>
      <c r="K70" s="2072"/>
      <c r="L70" s="2072"/>
      <c r="M70" s="2074" t="s">
        <v>1331</v>
      </c>
      <c r="N70" s="2217">
        <f>IF(スコア!O26=0,"対象外",スコア!O26)</f>
        <v>3</v>
      </c>
      <c r="O70" s="1942"/>
      <c r="P70" s="1943"/>
      <c r="Q70" s="2082">
        <f>IF(H72="対象外",5,0)</f>
        <v>0</v>
      </c>
    </row>
    <row r="71" spans="1:22" s="2128" customFormat="1" ht="12" customHeight="1" thickBot="1">
      <c r="A71" s="2125"/>
      <c r="B71" s="2123"/>
      <c r="C71" s="2072" t="s">
        <v>1341</v>
      </c>
      <c r="D71" s="2072"/>
      <c r="E71" s="2072"/>
      <c r="F71" s="2072"/>
      <c r="G71" s="2074" t="s">
        <v>1331</v>
      </c>
      <c r="H71" s="2217">
        <f>IF(スコア!O70=0,"対象外",スコア!O70)</f>
        <v>3</v>
      </c>
      <c r="I71" s="2072" t="s">
        <v>1465</v>
      </c>
      <c r="J71" s="2072"/>
      <c r="K71" s="2072"/>
      <c r="L71" s="2072"/>
      <c r="M71" s="2074" t="s">
        <v>1331</v>
      </c>
      <c r="N71" s="2217">
        <f>IF(スコア!O58=0,"対象外",スコア!O58)</f>
        <v>3</v>
      </c>
      <c r="O71" s="1942"/>
      <c r="P71" s="1943"/>
      <c r="Q71" s="2082">
        <f t="shared" ref="Q71:Q76" si="1">IF(N68="対象外",5,0)</f>
        <v>0</v>
      </c>
      <c r="R71" s="45">
        <f>COUNT(N71:Q71)</f>
        <v>2</v>
      </c>
      <c r="S71" s="2126"/>
      <c r="T71" s="2126"/>
      <c r="U71" s="2126"/>
      <c r="V71" s="2127"/>
    </row>
    <row r="72" spans="1:22" ht="12" customHeight="1" thickBot="1">
      <c r="A72" s="1968"/>
      <c r="B72" s="2123"/>
      <c r="C72" s="2072" t="s">
        <v>1343</v>
      </c>
      <c r="D72" s="2073"/>
      <c r="E72" s="2073"/>
      <c r="F72" s="2072"/>
      <c r="G72" s="2074" t="s">
        <v>1331</v>
      </c>
      <c r="H72" s="2217">
        <f>IF(スコア!O71=0,"対象外",スコア!O71)</f>
        <v>3</v>
      </c>
      <c r="I72" s="2072"/>
      <c r="J72" s="1944"/>
      <c r="K72" s="1944"/>
      <c r="L72" s="2072"/>
      <c r="M72" s="2074"/>
      <c r="N72" s="2220"/>
      <c r="O72" s="1942"/>
      <c r="P72" s="1943"/>
      <c r="Q72" s="2082">
        <f t="shared" si="1"/>
        <v>0</v>
      </c>
    </row>
    <row r="73" spans="1:22" ht="12" customHeight="1" thickBot="1">
      <c r="A73" s="1968"/>
      <c r="B73" s="2123"/>
      <c r="C73" s="2083"/>
      <c r="D73" s="2073"/>
      <c r="E73" s="2073"/>
      <c r="F73" s="2072"/>
      <c r="G73" s="2074"/>
      <c r="H73" s="2129"/>
      <c r="I73" s="2083"/>
      <c r="J73" s="1944"/>
      <c r="K73" s="1944"/>
      <c r="L73" s="2072"/>
      <c r="M73" s="2074"/>
      <c r="N73" s="2221"/>
      <c r="O73" s="1942"/>
      <c r="P73" s="1943"/>
      <c r="Q73" s="2082">
        <f t="shared" si="1"/>
        <v>0</v>
      </c>
    </row>
    <row r="74" spans="1:22" s="2128" customFormat="1" ht="12" customHeight="1">
      <c r="A74" s="2125"/>
      <c r="B74" s="2130"/>
      <c r="C74" s="2664" t="s">
        <v>1379</v>
      </c>
      <c r="D74" s="2664"/>
      <c r="E74" s="2664"/>
      <c r="F74" s="2664"/>
      <c r="G74" s="2664"/>
      <c r="H74" s="2664"/>
      <c r="I74" s="2664" t="s">
        <v>1379</v>
      </c>
      <c r="J74" s="2664"/>
      <c r="K74" s="2664"/>
      <c r="L74" s="2664"/>
      <c r="M74" s="2664"/>
      <c r="N74" s="2664"/>
      <c r="O74" s="1942"/>
      <c r="P74" s="1943"/>
      <c r="Q74" s="2082">
        <f t="shared" si="1"/>
        <v>0</v>
      </c>
      <c r="R74" s="37"/>
      <c r="S74" s="2126"/>
      <c r="T74" s="2126"/>
      <c r="U74" s="2126"/>
      <c r="V74" s="2127"/>
    </row>
    <row r="75" spans="1:22" s="2128" customFormat="1" ht="12" customHeight="1" thickBot="1">
      <c r="A75" s="2125"/>
      <c r="B75" s="2130"/>
      <c r="C75" s="2665"/>
      <c r="D75" s="2665"/>
      <c r="E75" s="2665"/>
      <c r="F75" s="2665"/>
      <c r="G75" s="2665"/>
      <c r="H75" s="2665"/>
      <c r="I75" s="2665"/>
      <c r="J75" s="2665"/>
      <c r="K75" s="2665"/>
      <c r="L75" s="2665"/>
      <c r="M75" s="2665"/>
      <c r="N75" s="2665"/>
      <c r="O75" s="1942"/>
      <c r="P75" s="1943"/>
      <c r="Q75" s="2082">
        <f t="shared" si="1"/>
        <v>0</v>
      </c>
      <c r="S75" s="2126"/>
      <c r="T75" s="2126"/>
      <c r="U75" s="2126"/>
      <c r="V75" s="2127"/>
    </row>
    <row r="76" spans="1:22" s="2128" customFormat="1" ht="15" customHeight="1" thickBot="1">
      <c r="A76" s="2125"/>
      <c r="B76" s="2131"/>
      <c r="C76" s="2090" t="s">
        <v>1380</v>
      </c>
      <c r="D76" s="2091"/>
      <c r="E76" s="2091"/>
      <c r="F76" s="2091"/>
      <c r="G76" s="2091"/>
      <c r="H76" s="2091"/>
      <c r="I76" s="2091"/>
      <c r="J76" s="2091"/>
      <c r="K76" s="2091"/>
      <c r="L76" s="2132" t="s">
        <v>1358</v>
      </c>
      <c r="M76" s="2092">
        <f>2+COUNTIF(N77:N79,"○")+COUNTIF(N80,"○")*2+COUNTIF(N81,"○")*4+COUNTIF(N82,"○")+COUNTIF(N83,"○")*2+COUNTIF(N84,"○")*4+COUNTIF(N85:N88,"○")</f>
        <v>2</v>
      </c>
      <c r="N76" s="2065">
        <v>17</v>
      </c>
      <c r="O76" s="1942"/>
      <c r="P76" s="1943"/>
      <c r="Q76" s="2082">
        <f t="shared" si="1"/>
        <v>0</v>
      </c>
      <c r="S76" s="2126"/>
      <c r="T76" s="2126"/>
      <c r="U76" s="2126"/>
      <c r="V76" s="2127"/>
    </row>
    <row r="77" spans="1:22" ht="12" customHeight="1" thickBot="1">
      <c r="A77" s="1968"/>
      <c r="B77" s="2131"/>
      <c r="C77" s="2672" t="s">
        <v>1424</v>
      </c>
      <c r="D77" s="2673"/>
      <c r="E77" s="2695" t="s">
        <v>1381</v>
      </c>
      <c r="F77" s="2696"/>
      <c r="G77" s="2696"/>
      <c r="H77" s="2696"/>
      <c r="I77" s="2696"/>
      <c r="J77" s="2696"/>
      <c r="K77" s="2696"/>
      <c r="L77" s="2696"/>
      <c r="M77" s="2696"/>
      <c r="N77" s="2217" t="str">
        <f>採点Q1!E27</f>
        <v>　</v>
      </c>
      <c r="O77" s="1942"/>
      <c r="P77" s="1943"/>
      <c r="Q77" s="2082">
        <f>IF(N77="対象外",1,0)</f>
        <v>0</v>
      </c>
    </row>
    <row r="78" spans="1:22" ht="12" customHeight="1" thickBot="1">
      <c r="A78" s="1968"/>
      <c r="B78" s="2131"/>
      <c r="C78" s="2627" t="s">
        <v>1425</v>
      </c>
      <c r="D78" s="2628"/>
      <c r="E78" s="2625" t="s">
        <v>1426</v>
      </c>
      <c r="F78" s="2629"/>
      <c r="G78" s="2629"/>
      <c r="H78" s="2629"/>
      <c r="I78" s="2629"/>
      <c r="J78" s="2629"/>
      <c r="K78" s="2629"/>
      <c r="L78" s="2629"/>
      <c r="M78" s="2629"/>
      <c r="N78" s="2217" t="str">
        <f>採点Q1!E128</f>
        <v>　</v>
      </c>
      <c r="O78" s="1942"/>
      <c r="P78" s="1943"/>
      <c r="Q78" s="2082">
        <f>IF(N78="対象外",1,0)</f>
        <v>0</v>
      </c>
    </row>
    <row r="79" spans="1:22" ht="12" hidden="1" customHeight="1" thickBot="1">
      <c r="A79" s="1968"/>
      <c r="B79" s="2131"/>
      <c r="C79" s="2634" t="s">
        <v>1427</v>
      </c>
      <c r="D79" s="2635"/>
      <c r="E79" s="2625" t="s">
        <v>1428</v>
      </c>
      <c r="F79" s="2626"/>
      <c r="G79" s="2626"/>
      <c r="H79" s="2626"/>
      <c r="I79" s="2626"/>
      <c r="J79" s="2626"/>
      <c r="K79" s="2626"/>
      <c r="L79" s="2626"/>
      <c r="M79" s="2626"/>
      <c r="N79" s="2217" t="str">
        <f>採点LR1!E48</f>
        <v>　</v>
      </c>
      <c r="O79" s="1942"/>
      <c r="P79" s="1943"/>
      <c r="Q79" s="2082">
        <f t="shared" ref="Q79:Q88" si="2">IF(N79="対象外",1,0)</f>
        <v>0</v>
      </c>
    </row>
    <row r="80" spans="1:22" ht="12" hidden="1" customHeight="1" thickBot="1">
      <c r="A80" s="1968"/>
      <c r="B80" s="2131"/>
      <c r="C80" s="2636"/>
      <c r="D80" s="2635"/>
      <c r="E80" s="2625" t="s">
        <v>1429</v>
      </c>
      <c r="F80" s="2626"/>
      <c r="G80" s="2626"/>
      <c r="H80" s="2626"/>
      <c r="I80" s="2626"/>
      <c r="J80" s="2626"/>
      <c r="K80" s="2626"/>
      <c r="L80" s="2626"/>
      <c r="M80" s="2626"/>
      <c r="N80" s="2217" t="str">
        <f>採点LR1!E49</f>
        <v>　</v>
      </c>
      <c r="O80" s="1942"/>
      <c r="P80" s="1943"/>
      <c r="Q80" s="2082">
        <f t="shared" si="2"/>
        <v>0</v>
      </c>
    </row>
    <row r="81" spans="1:21" ht="12" hidden="1" customHeight="1" thickBot="1">
      <c r="A81" s="1968"/>
      <c r="B81" s="2131"/>
      <c r="C81" s="2636"/>
      <c r="D81" s="2635"/>
      <c r="E81" s="2625" t="s">
        <v>1430</v>
      </c>
      <c r="F81" s="2626"/>
      <c r="G81" s="2626"/>
      <c r="H81" s="2626"/>
      <c r="I81" s="2626"/>
      <c r="J81" s="2626"/>
      <c r="K81" s="2626"/>
      <c r="L81" s="2626"/>
      <c r="M81" s="2626"/>
      <c r="N81" s="2217" t="str">
        <f>採点LR1!E50</f>
        <v>　</v>
      </c>
      <c r="O81" s="1942"/>
      <c r="P81" s="1943"/>
      <c r="Q81" s="2082">
        <f t="shared" si="2"/>
        <v>0</v>
      </c>
    </row>
    <row r="82" spans="1:21" ht="12" customHeight="1" thickBot="1">
      <c r="A82" s="1968"/>
      <c r="B82" s="2131"/>
      <c r="C82" s="2636"/>
      <c r="D82" s="2635"/>
      <c r="E82" s="2625" t="s">
        <v>1431</v>
      </c>
      <c r="F82" s="2626"/>
      <c r="G82" s="2626"/>
      <c r="H82" s="2626"/>
      <c r="I82" s="2626"/>
      <c r="J82" s="2626"/>
      <c r="K82" s="2626"/>
      <c r="L82" s="2626"/>
      <c r="M82" s="2626"/>
      <c r="N82" s="2217" t="str">
        <f>採点LR1!E51</f>
        <v>　</v>
      </c>
      <c r="Q82" s="2082">
        <f t="shared" si="2"/>
        <v>0</v>
      </c>
    </row>
    <row r="83" spans="1:21" ht="12" hidden="1" customHeight="1" thickBot="1">
      <c r="A83" s="1965"/>
      <c r="B83" s="2131"/>
      <c r="C83" s="2634" t="s">
        <v>1432</v>
      </c>
      <c r="D83" s="2635"/>
      <c r="E83" s="2625" t="s">
        <v>1433</v>
      </c>
      <c r="F83" s="2626"/>
      <c r="G83" s="2626"/>
      <c r="H83" s="2626"/>
      <c r="I83" s="2626"/>
      <c r="J83" s="2626"/>
      <c r="K83" s="2626"/>
      <c r="L83" s="2626"/>
      <c r="M83" s="2626"/>
      <c r="N83" s="2217" t="str">
        <f>採点LR1!E53</f>
        <v>　</v>
      </c>
      <c r="Q83" s="2082">
        <f t="shared" si="2"/>
        <v>0</v>
      </c>
    </row>
    <row r="84" spans="1:21" ht="12" hidden="1" customHeight="1" thickBot="1">
      <c r="A84" s="1965"/>
      <c r="B84" s="2131"/>
      <c r="C84" s="2636"/>
      <c r="D84" s="2635"/>
      <c r="E84" s="2625" t="s">
        <v>1434</v>
      </c>
      <c r="F84" s="2626"/>
      <c r="G84" s="2626"/>
      <c r="H84" s="2626"/>
      <c r="I84" s="2626"/>
      <c r="J84" s="2626"/>
      <c r="K84" s="2626"/>
      <c r="L84" s="2626"/>
      <c r="M84" s="2626"/>
      <c r="N84" s="2217" t="str">
        <f>採点LR1!E54</f>
        <v>　</v>
      </c>
      <c r="Q84" s="2082">
        <f t="shared" si="2"/>
        <v>0</v>
      </c>
    </row>
    <row r="85" spans="1:21" ht="12" customHeight="1" thickBot="1">
      <c r="A85" s="1938"/>
      <c r="B85" s="2131"/>
      <c r="C85" s="2636"/>
      <c r="D85" s="2635"/>
      <c r="E85" s="2625" t="s">
        <v>1435</v>
      </c>
      <c r="F85" s="2637"/>
      <c r="G85" s="2637"/>
      <c r="H85" s="2637"/>
      <c r="I85" s="2637"/>
      <c r="J85" s="2637"/>
      <c r="K85" s="2637"/>
      <c r="L85" s="2637"/>
      <c r="M85" s="2638"/>
      <c r="N85" s="2217" t="str">
        <f>採点LR1!E55</f>
        <v>　</v>
      </c>
      <c r="O85" s="1942"/>
      <c r="P85" s="1943"/>
      <c r="Q85" s="2082">
        <f t="shared" si="2"/>
        <v>0</v>
      </c>
    </row>
    <row r="86" spans="1:21" ht="12" customHeight="1" thickBot="1">
      <c r="A86" s="1968"/>
      <c r="B86" s="2131"/>
      <c r="C86" s="2627" t="s">
        <v>1382</v>
      </c>
      <c r="D86" s="2628"/>
      <c r="E86" s="2625" t="s">
        <v>1436</v>
      </c>
      <c r="F86" s="2629"/>
      <c r="G86" s="2629"/>
      <c r="H86" s="2629"/>
      <c r="I86" s="2629"/>
      <c r="J86" s="2629"/>
      <c r="K86" s="2629"/>
      <c r="L86" s="2629"/>
      <c r="M86" s="2629"/>
      <c r="N86" s="2217" t="str">
        <f>IF(採点LR2!D12+採点LR2!L22&gt;5,"○","")</f>
        <v/>
      </c>
      <c r="O86" s="1942"/>
      <c r="P86" s="1943"/>
      <c r="Q86" s="2082">
        <f t="shared" si="2"/>
        <v>0</v>
      </c>
    </row>
    <row r="87" spans="1:21" ht="12" customHeight="1" thickBot="1">
      <c r="A87" s="1968"/>
      <c r="B87" s="2131"/>
      <c r="C87" s="2627" t="s">
        <v>1383</v>
      </c>
      <c r="D87" s="2628"/>
      <c r="E87" s="2625" t="s">
        <v>1437</v>
      </c>
      <c r="F87" s="2629"/>
      <c r="G87" s="2629"/>
      <c r="H87" s="2629"/>
      <c r="I87" s="2629"/>
      <c r="J87" s="2629"/>
      <c r="K87" s="2629"/>
      <c r="L87" s="2629"/>
      <c r="M87" s="2629"/>
      <c r="N87" s="2217" t="str">
        <f>IF(採点LR2!D78+採点LR2!L97&gt;5,"○","")</f>
        <v/>
      </c>
      <c r="Q87" s="2082">
        <f t="shared" si="2"/>
        <v>0</v>
      </c>
    </row>
    <row r="88" spans="1:21" ht="12" customHeight="1" thickBot="1">
      <c r="A88" s="1938"/>
      <c r="B88" s="2133"/>
      <c r="C88" s="2630" t="s">
        <v>1341</v>
      </c>
      <c r="D88" s="2631"/>
      <c r="E88" s="2632" t="s">
        <v>1437</v>
      </c>
      <c r="F88" s="2633"/>
      <c r="G88" s="2633"/>
      <c r="H88" s="2633"/>
      <c r="I88" s="2633"/>
      <c r="J88" s="2633"/>
      <c r="K88" s="2633"/>
      <c r="L88" s="2633"/>
      <c r="M88" s="2633"/>
      <c r="N88" s="2217" t="str">
        <f>IF(採点LR2!D108+採点LR2!L128&gt;5,"○","")</f>
        <v/>
      </c>
      <c r="O88" s="1942"/>
      <c r="P88" s="1943"/>
      <c r="Q88" s="2082">
        <f t="shared" si="2"/>
        <v>0</v>
      </c>
    </row>
    <row r="89" spans="1:21" ht="6" customHeight="1" thickBot="1">
      <c r="A89" s="1938"/>
      <c r="B89" s="2134"/>
      <c r="C89" s="2135"/>
      <c r="D89" s="1935"/>
      <c r="E89" s="1935"/>
      <c r="F89" s="1935"/>
      <c r="G89" s="1935"/>
      <c r="H89" s="1935"/>
      <c r="I89" s="1935"/>
      <c r="J89" s="1935"/>
      <c r="K89" s="1935"/>
      <c r="L89" s="1935"/>
      <c r="M89" s="1935"/>
      <c r="N89" s="1935"/>
      <c r="O89" s="1942"/>
      <c r="P89" s="1943"/>
    </row>
    <row r="90" spans="1:21" ht="15" customHeight="1" thickBot="1">
      <c r="A90" s="1938"/>
      <c r="B90" s="2136" t="s">
        <v>1384</v>
      </c>
      <c r="C90" s="2137"/>
      <c r="D90" s="2138"/>
      <c r="E90" s="2138"/>
      <c r="F90" s="2139"/>
      <c r="G90" s="2138"/>
      <c r="H90" s="389"/>
      <c r="I90" s="2140"/>
      <c r="J90" s="2141"/>
      <c r="K90" s="2138"/>
      <c r="L90" s="2138"/>
      <c r="M90" s="2138"/>
      <c r="N90" s="2142"/>
      <c r="O90" s="1942"/>
      <c r="P90" s="1943"/>
      <c r="Q90" s="2185" t="b">
        <f>IF(採点Q3!E21="○",TRUE,FALSE)</f>
        <v>0</v>
      </c>
      <c r="R90" s="2143" t="s">
        <v>1385</v>
      </c>
    </row>
    <row r="91" spans="1:21" ht="12" customHeight="1">
      <c r="A91" s="1938"/>
      <c r="B91" s="2222"/>
      <c r="C91" s="2223"/>
      <c r="D91" s="2224"/>
      <c r="E91" s="2224"/>
      <c r="F91" s="2224"/>
      <c r="G91" s="2224"/>
      <c r="H91" s="2224"/>
      <c r="I91" s="2224"/>
      <c r="J91" s="2224"/>
      <c r="K91" s="2225"/>
      <c r="L91" s="2144" t="s">
        <v>1386</v>
      </c>
      <c r="M91" s="2685">
        <f>COUNTIF(Q90:Q98,"TRUE")</f>
        <v>0</v>
      </c>
      <c r="N91" s="2686"/>
      <c r="O91" s="1942"/>
      <c r="P91" s="1943"/>
      <c r="Q91" s="2185" t="b">
        <f>IF(採点Q3!E22="○",TRUE,FALSE)</f>
        <v>0</v>
      </c>
      <c r="R91" s="2145" t="s">
        <v>1387</v>
      </c>
    </row>
    <row r="92" spans="1:21" ht="12" customHeight="1">
      <c r="A92" s="1938"/>
      <c r="B92" s="2222"/>
      <c r="C92" s="2224"/>
      <c r="D92" s="2224"/>
      <c r="E92" s="2224"/>
      <c r="F92" s="2224"/>
      <c r="G92" s="2224"/>
      <c r="H92" s="2224"/>
      <c r="I92" s="2224"/>
      <c r="J92" s="2224"/>
      <c r="K92" s="2225"/>
      <c r="L92" s="2689" t="s">
        <v>1388</v>
      </c>
      <c r="M92" s="2685"/>
      <c r="N92" s="2686"/>
      <c r="O92" s="1942"/>
      <c r="P92" s="1943"/>
      <c r="Q92" s="2185" t="b">
        <f>IF(採点Q3!E23="○",TRUE,FALSE)</f>
        <v>0</v>
      </c>
      <c r="R92" s="2145" t="s">
        <v>1389</v>
      </c>
    </row>
    <row r="93" spans="1:21" ht="12" customHeight="1">
      <c r="A93" s="1938"/>
      <c r="B93" s="2222"/>
      <c r="C93" s="2224"/>
      <c r="D93" s="2224"/>
      <c r="E93" s="2224"/>
      <c r="F93" s="2224"/>
      <c r="G93" s="2224"/>
      <c r="H93" s="2224"/>
      <c r="I93" s="2224"/>
      <c r="J93" s="2224"/>
      <c r="K93" s="2225"/>
      <c r="L93" s="2689"/>
      <c r="M93" s="2685"/>
      <c r="N93" s="2686"/>
      <c r="O93" s="1942"/>
      <c r="P93" s="1943"/>
      <c r="Q93" s="2185" t="b">
        <f>IF(採点Q3!E24="○",TRUE,FALSE)</f>
        <v>0</v>
      </c>
      <c r="R93" s="2145" t="s">
        <v>1390</v>
      </c>
    </row>
    <row r="94" spans="1:21" ht="12" customHeight="1" thickBot="1">
      <c r="A94" s="1938"/>
      <c r="B94" s="2226"/>
      <c r="C94" s="2227"/>
      <c r="D94" s="2227"/>
      <c r="E94" s="2227"/>
      <c r="F94" s="2227"/>
      <c r="G94" s="2227"/>
      <c r="H94" s="2227"/>
      <c r="I94" s="2227"/>
      <c r="J94" s="2227"/>
      <c r="K94" s="2228"/>
      <c r="L94" s="2690"/>
      <c r="M94" s="2687"/>
      <c r="N94" s="2688"/>
      <c r="O94" s="1942"/>
      <c r="P94" s="1943"/>
      <c r="Q94" s="2185" t="b">
        <f>IF(採点Q3!E25="○",TRUE,FALSE)</f>
        <v>0</v>
      </c>
      <c r="R94" s="2145" t="s">
        <v>1391</v>
      </c>
    </row>
    <row r="95" spans="1:21" ht="6" customHeight="1" thickBot="1">
      <c r="A95" s="1938"/>
      <c r="B95" s="1938"/>
      <c r="C95" s="1938"/>
      <c r="D95" s="1938"/>
      <c r="E95" s="1938"/>
      <c r="F95" s="1938"/>
      <c r="G95" s="1938"/>
      <c r="H95" s="1938"/>
      <c r="I95" s="1938"/>
      <c r="J95" s="1938"/>
      <c r="K95" s="1938"/>
      <c r="L95" s="1938"/>
      <c r="M95" s="2146"/>
      <c r="N95" s="2147"/>
      <c r="O95" s="1942"/>
      <c r="P95" s="1943"/>
      <c r="Q95" s="2185" t="b">
        <f>IF(採点Q3!E26="○",TRUE,FALSE)</f>
        <v>0</v>
      </c>
      <c r="R95" s="2145" t="s">
        <v>1392</v>
      </c>
    </row>
    <row r="96" spans="1:21" ht="15" customHeight="1" thickBot="1">
      <c r="A96" s="1938"/>
      <c r="B96" s="2136" t="s">
        <v>1393</v>
      </c>
      <c r="C96" s="2137"/>
      <c r="D96" s="2138"/>
      <c r="E96" s="2138"/>
      <c r="F96" s="2139"/>
      <c r="G96" s="2138"/>
      <c r="H96" s="389"/>
      <c r="I96" s="2140"/>
      <c r="J96" s="2141"/>
      <c r="K96" s="2138"/>
      <c r="L96" s="2138"/>
      <c r="M96" s="2138"/>
      <c r="N96" s="2142"/>
      <c r="O96" s="1942"/>
      <c r="P96" s="1943"/>
      <c r="Q96" s="2185" t="b">
        <f>IF(採点Q3!E27="○",TRUE,FALSE)</f>
        <v>0</v>
      </c>
      <c r="R96" s="2145" t="s">
        <v>1394</v>
      </c>
      <c r="S96" s="2148"/>
      <c r="T96" s="2148"/>
      <c r="U96" s="2148"/>
    </row>
    <row r="97" spans="1:21" ht="12" customHeight="1" thickBot="1">
      <c r="A97" s="1938"/>
      <c r="B97" s="2149"/>
      <c r="C97" s="2150" t="s">
        <v>1395</v>
      </c>
      <c r="D97" s="2135"/>
      <c r="E97" s="2135"/>
      <c r="F97" s="2135"/>
      <c r="G97" s="417"/>
      <c r="H97" s="2151"/>
      <c r="I97" s="2151"/>
      <c r="J97" s="2229" t="e">
        <f>CO2計算!M80</f>
        <v>#DIV/0!</v>
      </c>
      <c r="K97" s="2152" t="s">
        <v>1396</v>
      </c>
      <c r="L97" s="2144" t="s">
        <v>1397</v>
      </c>
      <c r="M97" s="2691" t="e">
        <f>IF(J99=0,0,IF(J99&lt;0,"+"&amp;ROUND(($J$99/$J$98)*(-1)*100,1),"▲"&amp;ROUND(($J$99/$J$98)*100,1)))&amp;"％"</f>
        <v>#DIV/0!</v>
      </c>
      <c r="N97" s="2692"/>
      <c r="O97" s="1942"/>
      <c r="P97" s="1943"/>
      <c r="Q97" s="2185" t="b">
        <f>IF(採点Q3!E28="○",TRUE,FALSE)</f>
        <v>0</v>
      </c>
      <c r="R97" s="2153" t="s">
        <v>1398</v>
      </c>
      <c r="S97" s="2148"/>
      <c r="T97" s="2148"/>
      <c r="U97" s="2148"/>
    </row>
    <row r="98" spans="1:21" ht="12" customHeight="1" thickBot="1">
      <c r="A98" s="1938"/>
      <c r="B98" s="2149"/>
      <c r="C98" s="2150" t="s">
        <v>1399</v>
      </c>
      <c r="D98" s="2135"/>
      <c r="E98" s="2135"/>
      <c r="F98" s="2135"/>
      <c r="G98" s="417"/>
      <c r="H98" s="2151"/>
      <c r="I98" s="2151"/>
      <c r="J98" s="2229" t="e">
        <f>CO2計算!P80</f>
        <v>#VALUE!</v>
      </c>
      <c r="K98" s="2152" t="s">
        <v>1396</v>
      </c>
      <c r="L98" s="2689" t="s">
        <v>1400</v>
      </c>
      <c r="M98" s="2691"/>
      <c r="N98" s="2692"/>
      <c r="O98" s="1942"/>
      <c r="P98" s="1943"/>
      <c r="Q98" s="2185" t="b">
        <f>IF(採点Q3!E29="○",TRUE,FALSE)</f>
        <v>0</v>
      </c>
      <c r="R98" s="2145" t="s">
        <v>1401</v>
      </c>
      <c r="S98" s="2148"/>
      <c r="T98" s="2148"/>
      <c r="U98" s="2148"/>
    </row>
    <row r="99" spans="1:21" ht="12" customHeight="1" thickBot="1">
      <c r="A99" s="1938"/>
      <c r="B99" s="2154"/>
      <c r="C99" s="2155" t="s">
        <v>1402</v>
      </c>
      <c r="D99" s="2156"/>
      <c r="E99" s="2156"/>
      <c r="F99" s="2156"/>
      <c r="G99" s="2157"/>
      <c r="H99" s="2158"/>
      <c r="I99" s="2158"/>
      <c r="J99" s="2182" t="e">
        <f>J97-J98</f>
        <v>#DIV/0!</v>
      </c>
      <c r="K99" s="2159" t="s">
        <v>1403</v>
      </c>
      <c r="L99" s="2690"/>
      <c r="M99" s="2693"/>
      <c r="N99" s="2694"/>
      <c r="O99" s="1942"/>
      <c r="P99" s="1943"/>
      <c r="Q99" s="2160"/>
      <c r="R99" s="2161"/>
      <c r="S99" s="2148"/>
      <c r="T99" s="2148"/>
      <c r="U99" s="2148"/>
    </row>
    <row r="100" spans="1:21" ht="6" customHeight="1" thickBot="1">
      <c r="A100" s="1938"/>
      <c r="B100" s="1938"/>
      <c r="C100" s="1938"/>
      <c r="D100" s="1938"/>
      <c r="E100" s="1938"/>
      <c r="F100" s="1938"/>
      <c r="G100" s="1938"/>
      <c r="H100" s="1938"/>
      <c r="I100" s="1938"/>
      <c r="J100" s="1938"/>
      <c r="K100" s="1938"/>
      <c r="L100" s="1938"/>
      <c r="M100" s="2146"/>
      <c r="N100" s="2147"/>
      <c r="O100" s="1942"/>
      <c r="P100" s="1943"/>
      <c r="Q100" s="2160"/>
      <c r="R100" s="2161"/>
      <c r="S100" s="2148"/>
      <c r="T100" s="2148"/>
      <c r="U100" s="2148"/>
    </row>
    <row r="101" spans="1:21" ht="15" customHeight="1" thickBot="1">
      <c r="A101" s="1938"/>
      <c r="B101" s="2136" t="s">
        <v>1404</v>
      </c>
      <c r="C101" s="2137"/>
      <c r="D101" s="2138"/>
      <c r="E101" s="2138"/>
      <c r="F101" s="2139"/>
      <c r="G101" s="2138"/>
      <c r="H101" s="389"/>
      <c r="I101" s="2140"/>
      <c r="J101" s="2141"/>
      <c r="K101" s="2138"/>
      <c r="L101" s="2138"/>
      <c r="M101" s="2138"/>
      <c r="N101" s="2142"/>
      <c r="O101" s="1942"/>
      <c r="P101" s="1943"/>
      <c r="Q101" s="2160"/>
      <c r="R101" s="2161"/>
      <c r="S101" s="2148"/>
      <c r="T101" s="2148"/>
      <c r="U101" s="2148"/>
    </row>
    <row r="102" spans="1:21" ht="12" customHeight="1" thickBot="1">
      <c r="A102" s="1938"/>
      <c r="B102" s="2149"/>
      <c r="C102" s="2150" t="s">
        <v>1405</v>
      </c>
      <c r="D102" s="2135"/>
      <c r="E102" s="2135"/>
      <c r="F102" s="2135"/>
      <c r="G102" s="417"/>
      <c r="H102" s="1935"/>
      <c r="I102" s="1935"/>
      <c r="J102" s="2162"/>
      <c r="K102" s="2152" t="s">
        <v>1406</v>
      </c>
      <c r="L102" s="2163" t="s">
        <v>1407</v>
      </c>
      <c r="M102" s="2681" t="str">
        <f>ROUND($J$102/($Q$102+$J$103)*100,1)&amp;"％"</f>
        <v>0％</v>
      </c>
      <c r="N102" s="2682"/>
      <c r="O102" s="1942"/>
      <c r="P102" s="1943"/>
      <c r="Q102" s="2164">
        <f>IF(OR(J102="",J102=0),1,J102)</f>
        <v>1</v>
      </c>
      <c r="R102" s="2161"/>
      <c r="S102" s="2148"/>
      <c r="T102" s="2148"/>
      <c r="U102" s="2148"/>
    </row>
    <row r="103" spans="1:21" ht="12" customHeight="1" thickBot="1">
      <c r="A103" s="1938"/>
      <c r="B103" s="2154"/>
      <c r="C103" s="2155" t="s">
        <v>1408</v>
      </c>
      <c r="D103" s="2156"/>
      <c r="E103" s="2156"/>
      <c r="F103" s="2156"/>
      <c r="G103" s="2157"/>
      <c r="H103" s="2158"/>
      <c r="I103" s="2158"/>
      <c r="J103" s="2162"/>
      <c r="K103" s="2159" t="s">
        <v>1409</v>
      </c>
      <c r="L103" s="2165" t="s">
        <v>1410</v>
      </c>
      <c r="M103" s="2683"/>
      <c r="N103" s="2684"/>
      <c r="O103" s="1942"/>
      <c r="P103" s="1943"/>
      <c r="Q103" s="2161"/>
      <c r="R103" s="2161"/>
      <c r="S103" s="2148"/>
      <c r="T103" s="2148"/>
      <c r="U103" s="2148"/>
    </row>
    <row r="104" spans="1:21" ht="8.1" customHeight="1">
      <c r="A104" s="1938"/>
      <c r="B104" s="2134"/>
      <c r="C104" s="2150"/>
      <c r="D104" s="2150"/>
      <c r="E104" s="2150"/>
      <c r="F104" s="2135"/>
      <c r="G104" s="2135"/>
      <c r="H104" s="417"/>
      <c r="I104" s="2166"/>
      <c r="J104" s="2152"/>
      <c r="K104" s="2152"/>
      <c r="L104" s="2167"/>
      <c r="M104" s="2167"/>
      <c r="N104" s="2168"/>
      <c r="O104" s="2169"/>
      <c r="P104" s="2170"/>
      <c r="Q104" s="2171"/>
    </row>
    <row r="105" spans="1:21" ht="12" customHeight="1">
      <c r="A105" s="1938"/>
      <c r="B105" s="1938"/>
      <c r="C105" s="2172"/>
      <c r="D105" s="2174" t="s">
        <v>1411</v>
      </c>
      <c r="E105" s="2173"/>
      <c r="F105" s="1935"/>
      <c r="G105" s="1935"/>
      <c r="H105" s="2175" t="s">
        <v>1412</v>
      </c>
      <c r="I105" s="1936"/>
      <c r="J105" s="1935"/>
      <c r="K105" s="1935"/>
      <c r="L105" s="1936"/>
      <c r="M105" s="1938"/>
      <c r="N105" s="1938"/>
      <c r="O105" s="2146"/>
      <c r="P105" s="1974"/>
      <c r="Q105" s="2176"/>
    </row>
    <row r="106" spans="1:21" ht="12.75" customHeight="1">
      <c r="A106" s="1938"/>
      <c r="B106" s="1938"/>
      <c r="C106" s="2177"/>
      <c r="D106" s="1935"/>
      <c r="E106" s="1935"/>
      <c r="F106" s="1938"/>
      <c r="G106" s="2178"/>
      <c r="H106" s="1935"/>
      <c r="I106" s="1935"/>
      <c r="J106" s="1938"/>
      <c r="K106" s="1938"/>
      <c r="L106" s="1938"/>
      <c r="M106" s="1938"/>
      <c r="N106" s="1938"/>
      <c r="O106" s="2146"/>
      <c r="P106" s="1974"/>
      <c r="Q106" s="2176"/>
    </row>
    <row r="107" spans="1:21" ht="12" customHeight="1">
      <c r="A107" s="1938"/>
      <c r="B107" s="1938"/>
      <c r="C107" s="1935"/>
      <c r="D107" s="1935"/>
      <c r="E107" s="1935"/>
      <c r="F107" s="1935"/>
      <c r="G107" s="1935"/>
      <c r="H107" s="1935"/>
      <c r="I107" s="1935"/>
      <c r="J107" s="1935"/>
      <c r="K107" s="1935"/>
      <c r="L107" s="1935"/>
      <c r="M107" s="1935"/>
      <c r="N107" s="1935"/>
      <c r="O107" s="1942"/>
      <c r="P107" s="1943"/>
      <c r="Q107" s="1976"/>
    </row>
    <row r="108" spans="1:21" ht="12" customHeight="1">
      <c r="A108" s="1938"/>
      <c r="B108" s="1973"/>
      <c r="C108" s="1974"/>
      <c r="D108" s="1974"/>
      <c r="E108" s="1974"/>
      <c r="F108" s="1974"/>
      <c r="G108" s="1974"/>
      <c r="H108" s="1974"/>
      <c r="I108" s="1974"/>
      <c r="J108" s="1974"/>
      <c r="K108" s="1974"/>
      <c r="L108" s="1974"/>
      <c r="M108" s="1974"/>
      <c r="N108" s="1975"/>
      <c r="O108" s="1942"/>
      <c r="P108" s="1943"/>
      <c r="Q108" s="1976"/>
    </row>
    <row r="109" spans="1:21" ht="8.1" customHeight="1">
      <c r="A109" s="1938"/>
      <c r="B109" s="1973"/>
      <c r="C109" s="1974"/>
      <c r="D109" s="1974"/>
      <c r="E109" s="1974"/>
      <c r="F109" s="1974"/>
      <c r="G109" s="1974"/>
      <c r="H109" s="1974"/>
      <c r="I109" s="1974"/>
      <c r="J109" s="1974"/>
      <c r="K109" s="1974"/>
      <c r="L109" s="1974"/>
      <c r="M109" s="1974"/>
      <c r="N109" s="1975"/>
      <c r="O109" s="1942"/>
      <c r="P109" s="1943"/>
      <c r="Q109" s="1976"/>
    </row>
    <row r="110" spans="1:21" ht="12" customHeight="1">
      <c r="A110" s="1938"/>
      <c r="B110" s="1973"/>
      <c r="C110" s="1974"/>
      <c r="D110" s="1974"/>
      <c r="E110" s="1974"/>
      <c r="F110" s="1974"/>
      <c r="G110" s="1974"/>
      <c r="H110" s="1974"/>
      <c r="I110" s="1974"/>
      <c r="J110" s="1974"/>
      <c r="K110" s="1974"/>
      <c r="L110" s="1974"/>
      <c r="M110" s="1974"/>
      <c r="N110" s="1975"/>
      <c r="O110" s="1942"/>
      <c r="P110" s="1943"/>
      <c r="Q110" s="1976"/>
    </row>
    <row r="111" spans="1:21" ht="8.1" customHeight="1">
      <c r="A111" s="1938"/>
      <c r="B111" s="1973"/>
      <c r="C111" s="1974"/>
      <c r="D111" s="1974"/>
      <c r="E111" s="2230"/>
      <c r="F111" s="1974"/>
      <c r="G111" s="1974"/>
      <c r="H111" s="1974"/>
      <c r="I111" s="1974"/>
      <c r="J111" s="1974"/>
      <c r="K111" s="1974"/>
      <c r="L111" s="1974"/>
      <c r="M111" s="1974"/>
      <c r="N111" s="1975"/>
      <c r="O111" s="1942"/>
      <c r="P111" s="1943"/>
      <c r="Q111" s="1976"/>
    </row>
    <row r="112" spans="1:21" ht="15" customHeight="1">
      <c r="A112" s="1938"/>
      <c r="B112" s="1973"/>
      <c r="C112" s="1973"/>
      <c r="D112" s="1973"/>
      <c r="E112" s="1973"/>
      <c r="F112" s="1973"/>
      <c r="G112" s="1973"/>
      <c r="H112" s="1973"/>
      <c r="I112" s="1973"/>
      <c r="J112" s="1973"/>
      <c r="K112" s="1973"/>
      <c r="L112" s="1973"/>
      <c r="M112" s="1974"/>
      <c r="N112" s="1975"/>
      <c r="O112" s="1942"/>
      <c r="P112" s="1943"/>
      <c r="Q112" s="1976"/>
    </row>
    <row r="113" spans="1:17">
      <c r="A113" s="1938"/>
      <c r="B113" s="1973"/>
      <c r="C113" s="1973"/>
      <c r="D113" s="1973"/>
      <c r="E113" s="1973"/>
      <c r="F113" s="1973"/>
      <c r="G113" s="1936"/>
      <c r="H113" s="1973"/>
      <c r="I113" s="1973"/>
      <c r="J113" s="1973"/>
      <c r="K113" s="1973"/>
      <c r="L113" s="1973"/>
      <c r="M113" s="1974"/>
      <c r="N113" s="1975"/>
      <c r="O113" s="1942"/>
      <c r="P113" s="1943"/>
      <c r="Q113" s="1976"/>
    </row>
    <row r="114" spans="1:17">
      <c r="A114" s="1938"/>
      <c r="B114" s="1973"/>
      <c r="C114" s="2179"/>
      <c r="D114" s="1936"/>
      <c r="E114" s="1936"/>
      <c r="F114" s="1973"/>
      <c r="G114" s="1936"/>
      <c r="H114" s="1936"/>
      <c r="I114" s="1936"/>
      <c r="J114" s="1973"/>
      <c r="K114" s="1973"/>
      <c r="L114" s="1973"/>
      <c r="M114" s="1974"/>
      <c r="N114" s="1975"/>
      <c r="O114" s="1942"/>
      <c r="P114" s="1943"/>
      <c r="Q114" s="1976"/>
    </row>
    <row r="115" spans="1:17">
      <c r="A115" s="1938"/>
      <c r="B115" s="1973"/>
      <c r="D115" s="1973"/>
      <c r="E115" s="1973"/>
      <c r="F115" s="1973"/>
      <c r="I115" s="1973"/>
      <c r="J115" s="1973"/>
      <c r="K115" s="1973"/>
      <c r="L115" s="1973"/>
      <c r="M115" s="1974"/>
      <c r="N115" s="1975"/>
      <c r="O115" s="1942"/>
      <c r="P115" s="1943"/>
      <c r="Q115" s="1976"/>
    </row>
    <row r="116" spans="1:17">
      <c r="A116" s="1938"/>
      <c r="B116" s="1973"/>
      <c r="J116" s="1973"/>
      <c r="K116" s="1973"/>
      <c r="L116" s="1973"/>
      <c r="M116" s="1974"/>
      <c r="N116" s="1975"/>
      <c r="O116" s="1942"/>
      <c r="P116" s="1943"/>
      <c r="Q116" s="1976"/>
    </row>
    <row r="117" spans="1:17">
      <c r="A117" s="1938"/>
      <c r="B117" s="1973"/>
      <c r="J117" s="1973"/>
      <c r="K117" s="1973"/>
      <c r="L117" s="1973"/>
      <c r="M117" s="1974"/>
      <c r="N117" s="1975"/>
      <c r="O117" s="1942"/>
      <c r="P117" s="1943"/>
      <c r="Q117" s="1976"/>
    </row>
    <row r="118" spans="1:17">
      <c r="A118" s="1938"/>
    </row>
    <row r="119" spans="1:17">
      <c r="A119" s="1938"/>
    </row>
    <row r="120" spans="1:17" ht="13.5" customHeight="1"/>
    <row r="121" spans="1:17" ht="13.5" hidden="1" customHeight="1">
      <c r="B121" s="1973"/>
      <c r="C121" s="1973"/>
      <c r="D121" s="1973"/>
      <c r="E121" s="1973"/>
      <c r="F121" s="1973"/>
      <c r="G121" s="1973"/>
      <c r="H121" s="1973"/>
      <c r="I121" s="1973"/>
      <c r="J121" s="1973"/>
      <c r="K121" s="1973"/>
      <c r="L121" s="1973"/>
      <c r="M121" s="1974"/>
      <c r="N121" s="1975"/>
    </row>
    <row r="122" spans="1:17" ht="12.75" hidden="1" customHeight="1">
      <c r="B122" s="1973"/>
      <c r="C122" s="1973"/>
      <c r="D122" s="1973"/>
      <c r="E122" s="1973"/>
      <c r="F122" s="1973"/>
      <c r="G122" s="1973"/>
      <c r="H122" s="1973"/>
      <c r="I122" s="1973"/>
      <c r="J122" s="1973"/>
      <c r="K122" s="1973"/>
      <c r="L122" s="1973"/>
      <c r="M122" s="1974"/>
      <c r="N122" s="1975"/>
    </row>
    <row r="123" spans="1:17" ht="12.75" hidden="1" customHeight="1">
      <c r="B123" s="1973"/>
      <c r="C123" s="1973"/>
      <c r="D123" s="1973"/>
      <c r="E123" s="1973"/>
      <c r="F123" s="1973"/>
      <c r="G123" s="1973"/>
      <c r="H123" s="1973"/>
      <c r="I123" s="1973"/>
      <c r="J123" s="1973"/>
      <c r="K123" s="1973"/>
      <c r="L123" s="1973"/>
      <c r="M123" s="1974"/>
      <c r="N123" s="1975"/>
    </row>
    <row r="124" spans="1:17" ht="12.75" hidden="1" customHeight="1"/>
    <row r="125" spans="1:17" ht="13.5" hidden="1" customHeight="1"/>
    <row r="126" spans="1:17" ht="13.5" hidden="1" customHeight="1"/>
    <row r="127" spans="1:17" ht="13.5" hidden="1" customHeight="1"/>
    <row r="128" spans="1:17" ht="13.5" hidden="1" customHeight="1"/>
    <row r="129" ht="13.5" hidden="1" customHeight="1"/>
    <row r="130" ht="13.5" hidden="1" customHeight="1"/>
    <row r="131" ht="13.5" hidden="1" customHeight="1"/>
    <row r="132" ht="12.75" hidden="1" customHeight="1"/>
    <row r="133" ht="12.75" hidden="1" customHeight="1"/>
    <row r="134" ht="13.5" hidden="1" customHeight="1"/>
    <row r="135" hidden="1"/>
    <row r="136" hidden="1"/>
    <row r="137" hidden="1"/>
    <row r="138" hidden="1"/>
    <row r="139" ht="409.6" hidden="1" customHeight="1"/>
    <row r="140" ht="409.6" hidden="1" customHeight="1"/>
    <row r="141" ht="409.6" hidden="1" customHeight="1"/>
    <row r="142" ht="409.6" hidden="1" customHeight="1"/>
    <row r="143" ht="409.6" hidden="1" customHeight="1"/>
    <row r="144" ht="409.6" hidden="1" customHeight="1"/>
    <row r="145" ht="409.6" hidden="1" customHeight="1"/>
    <row r="146" ht="409.6" hidden="1" customHeight="1"/>
    <row r="147" ht="409.6" hidden="1" customHeight="1"/>
    <row r="148" ht="409.6" hidden="1" customHeight="1"/>
    <row r="149" ht="409.6" hidden="1" customHeight="1"/>
    <row r="150" ht="409.6" hidden="1" customHeight="1"/>
    <row r="151" ht="409.6" hidden="1" customHeight="1"/>
    <row r="152" ht="409.6" hidden="1" customHeight="1"/>
    <row r="153" ht="409.6" hidden="1" customHeight="1"/>
    <row r="154" ht="409.6" hidden="1" customHeight="1"/>
    <row r="155" ht="409.6" hidden="1" customHeight="1"/>
    <row r="156" ht="409.6" hidden="1" customHeight="1"/>
    <row r="157" ht="409.6" hidden="1" customHeight="1"/>
    <row r="158" ht="409.6" hidden="1" customHeight="1"/>
    <row r="159" hidden="1"/>
    <row r="160" hidden="1"/>
    <row r="161" hidden="1"/>
    <row r="162" hidden="1"/>
    <row r="163" hidden="1"/>
    <row r="164" hidden="1"/>
    <row r="165" hidden="1"/>
    <row r="166" ht="12.75" customHeight="1"/>
    <row r="167" ht="12.75" customHeight="1"/>
    <row r="168" ht="12.75" customHeight="1"/>
    <row r="169" ht="12.75" customHeight="1"/>
    <row r="170" ht="12.75" customHeight="1"/>
    <row r="171" ht="12.75" customHeight="1"/>
    <row r="172" ht="12.75" customHeight="1"/>
  </sheetData>
  <sheetProtection password="CC47" sheet="1" objects="1" scenarios="1"/>
  <mergeCells count="65">
    <mergeCell ref="M102:N103"/>
    <mergeCell ref="M91:N94"/>
    <mergeCell ref="L92:L94"/>
    <mergeCell ref="C64:N65"/>
    <mergeCell ref="C74:H75"/>
    <mergeCell ref="I74:N75"/>
    <mergeCell ref="M97:N99"/>
    <mergeCell ref="L98:L99"/>
    <mergeCell ref="C77:D77"/>
    <mergeCell ref="E77:M77"/>
    <mergeCell ref="C78:D78"/>
    <mergeCell ref="E78:M78"/>
    <mergeCell ref="C79:D82"/>
    <mergeCell ref="E79:M79"/>
    <mergeCell ref="E80:M80"/>
    <mergeCell ref="E81:M81"/>
    <mergeCell ref="C51:D51"/>
    <mergeCell ref="E51:M51"/>
    <mergeCell ref="C52:D52"/>
    <mergeCell ref="E52:M52"/>
    <mergeCell ref="C59:H60"/>
    <mergeCell ref="I59:N60"/>
    <mergeCell ref="C48:D48"/>
    <mergeCell ref="E48:M48"/>
    <mergeCell ref="C49:D49"/>
    <mergeCell ref="E49:M49"/>
    <mergeCell ref="C50:D50"/>
    <mergeCell ref="E50:M50"/>
    <mergeCell ref="E47:M47"/>
    <mergeCell ref="C20:D20"/>
    <mergeCell ref="C21:D21"/>
    <mergeCell ref="C22:F22"/>
    <mergeCell ref="C23:D23"/>
    <mergeCell ref="C32:H33"/>
    <mergeCell ref="I32:N33"/>
    <mergeCell ref="C36:H37"/>
    <mergeCell ref="I36:N37"/>
    <mergeCell ref="C43:N44"/>
    <mergeCell ref="C46:D46"/>
    <mergeCell ref="E46:M46"/>
    <mergeCell ref="C19:D19"/>
    <mergeCell ref="F6:K6"/>
    <mergeCell ref="D7:G7"/>
    <mergeCell ref="J7:L7"/>
    <mergeCell ref="E9:H9"/>
    <mergeCell ref="I9:I10"/>
    <mergeCell ref="J9:J10"/>
    <mergeCell ref="K9:K10"/>
    <mergeCell ref="L9:N10"/>
    <mergeCell ref="E11:H11"/>
    <mergeCell ref="K11:N11"/>
    <mergeCell ref="C15:D15"/>
    <mergeCell ref="C16:D16"/>
    <mergeCell ref="C18:D18"/>
    <mergeCell ref="E82:M82"/>
    <mergeCell ref="C87:D87"/>
    <mergeCell ref="E87:M87"/>
    <mergeCell ref="C88:D88"/>
    <mergeCell ref="E88:M88"/>
    <mergeCell ref="C83:D85"/>
    <mergeCell ref="E83:M83"/>
    <mergeCell ref="E84:M84"/>
    <mergeCell ref="E85:M85"/>
    <mergeCell ref="C86:D86"/>
    <mergeCell ref="E86:M86"/>
  </mergeCells>
  <phoneticPr fontId="4"/>
  <conditionalFormatting sqref="M21:N23">
    <cfRule type="expression" dxfId="8" priority="1" stopIfTrue="1">
      <formula>$D$21&gt;=#REF!</formula>
    </cfRule>
    <cfRule type="expression" dxfId="7" priority="2" stopIfTrue="1">
      <formula>$D$21&gt;=#REF!</formula>
    </cfRule>
  </conditionalFormatting>
  <conditionalFormatting sqref="M15:N17">
    <cfRule type="expression" dxfId="6" priority="3" stopIfTrue="1">
      <formula>$D$15&gt;=#REF!</formula>
    </cfRule>
    <cfRule type="expression" dxfId="5" priority="4" stopIfTrue="1">
      <formula>$D$15&gt;=#REF!</formula>
    </cfRule>
  </conditionalFormatting>
  <conditionalFormatting sqref="M18:N20">
    <cfRule type="expression" dxfId="4" priority="5" stopIfTrue="1">
      <formula>$D$18&gt;=#REF!</formula>
    </cfRule>
    <cfRule type="expression" dxfId="3" priority="6" stopIfTrue="1">
      <formula>$D$18&gt;=#REF!</formula>
    </cfRule>
  </conditionalFormatting>
  <dataValidations disablePrompts="1" count="5">
    <dataValidation type="list" allowBlank="1" showInputMessage="1" showErrorMessage="1" sqref="WLZ983091:WLZ983097 WCD983091:WCD983097 N65618:N65624 JJ65618:JJ65624 TF65618:TF65624 ADB65618:ADB65624 AMX65618:AMX65624 AWT65618:AWT65624 BGP65618:BGP65624 BQL65618:BQL65624 CAH65618:CAH65624 CKD65618:CKD65624 CTZ65618:CTZ65624 DDV65618:DDV65624 DNR65618:DNR65624 DXN65618:DXN65624 EHJ65618:EHJ65624 ERF65618:ERF65624 FBB65618:FBB65624 FKX65618:FKX65624 FUT65618:FUT65624 GEP65618:GEP65624 GOL65618:GOL65624 GYH65618:GYH65624 HID65618:HID65624 HRZ65618:HRZ65624 IBV65618:IBV65624 ILR65618:ILR65624 IVN65618:IVN65624 JFJ65618:JFJ65624 JPF65618:JPF65624 JZB65618:JZB65624 KIX65618:KIX65624 KST65618:KST65624 LCP65618:LCP65624 LML65618:LML65624 LWH65618:LWH65624 MGD65618:MGD65624 MPZ65618:MPZ65624 MZV65618:MZV65624 NJR65618:NJR65624 NTN65618:NTN65624 ODJ65618:ODJ65624 ONF65618:ONF65624 OXB65618:OXB65624 PGX65618:PGX65624 PQT65618:PQT65624 QAP65618:QAP65624 QKL65618:QKL65624 QUH65618:QUH65624 RED65618:RED65624 RNZ65618:RNZ65624 RXV65618:RXV65624 SHR65618:SHR65624 SRN65618:SRN65624 TBJ65618:TBJ65624 TLF65618:TLF65624 TVB65618:TVB65624 UEX65618:UEX65624 UOT65618:UOT65624 UYP65618:UYP65624 VIL65618:VIL65624 VSH65618:VSH65624 WCD65618:WCD65624 WLZ65618:WLZ65624 WVV65618:WVV65624 N131154:N131160 JJ131154:JJ131160 TF131154:TF131160 ADB131154:ADB131160 AMX131154:AMX131160 AWT131154:AWT131160 BGP131154:BGP131160 BQL131154:BQL131160 CAH131154:CAH131160 CKD131154:CKD131160 CTZ131154:CTZ131160 DDV131154:DDV131160 DNR131154:DNR131160 DXN131154:DXN131160 EHJ131154:EHJ131160 ERF131154:ERF131160 FBB131154:FBB131160 FKX131154:FKX131160 FUT131154:FUT131160 GEP131154:GEP131160 GOL131154:GOL131160 GYH131154:GYH131160 HID131154:HID131160 HRZ131154:HRZ131160 IBV131154:IBV131160 ILR131154:ILR131160 IVN131154:IVN131160 JFJ131154:JFJ131160 JPF131154:JPF131160 JZB131154:JZB131160 KIX131154:KIX131160 KST131154:KST131160 LCP131154:LCP131160 LML131154:LML131160 LWH131154:LWH131160 MGD131154:MGD131160 MPZ131154:MPZ131160 MZV131154:MZV131160 NJR131154:NJR131160 NTN131154:NTN131160 ODJ131154:ODJ131160 ONF131154:ONF131160 OXB131154:OXB131160 PGX131154:PGX131160 PQT131154:PQT131160 QAP131154:QAP131160 QKL131154:QKL131160 QUH131154:QUH131160 RED131154:RED131160 RNZ131154:RNZ131160 RXV131154:RXV131160 SHR131154:SHR131160 SRN131154:SRN131160 TBJ131154:TBJ131160 TLF131154:TLF131160 TVB131154:TVB131160 UEX131154:UEX131160 UOT131154:UOT131160 UYP131154:UYP131160 VIL131154:VIL131160 VSH131154:VSH131160 WCD131154:WCD131160 WLZ131154:WLZ131160 WVV131154:WVV131160 N196690:N196696 JJ196690:JJ196696 TF196690:TF196696 ADB196690:ADB196696 AMX196690:AMX196696 AWT196690:AWT196696 BGP196690:BGP196696 BQL196690:BQL196696 CAH196690:CAH196696 CKD196690:CKD196696 CTZ196690:CTZ196696 DDV196690:DDV196696 DNR196690:DNR196696 DXN196690:DXN196696 EHJ196690:EHJ196696 ERF196690:ERF196696 FBB196690:FBB196696 FKX196690:FKX196696 FUT196690:FUT196696 GEP196690:GEP196696 GOL196690:GOL196696 GYH196690:GYH196696 HID196690:HID196696 HRZ196690:HRZ196696 IBV196690:IBV196696 ILR196690:ILR196696 IVN196690:IVN196696 JFJ196690:JFJ196696 JPF196690:JPF196696 JZB196690:JZB196696 KIX196690:KIX196696 KST196690:KST196696 LCP196690:LCP196696 LML196690:LML196696 LWH196690:LWH196696 MGD196690:MGD196696 MPZ196690:MPZ196696 MZV196690:MZV196696 NJR196690:NJR196696 NTN196690:NTN196696 ODJ196690:ODJ196696 ONF196690:ONF196696 OXB196690:OXB196696 PGX196690:PGX196696 PQT196690:PQT196696 QAP196690:QAP196696 QKL196690:QKL196696 QUH196690:QUH196696 RED196690:RED196696 RNZ196690:RNZ196696 RXV196690:RXV196696 SHR196690:SHR196696 SRN196690:SRN196696 TBJ196690:TBJ196696 TLF196690:TLF196696 TVB196690:TVB196696 UEX196690:UEX196696 UOT196690:UOT196696 UYP196690:UYP196696 VIL196690:VIL196696 VSH196690:VSH196696 WCD196690:WCD196696 WLZ196690:WLZ196696 WVV196690:WVV196696 N262226:N262232 JJ262226:JJ262232 TF262226:TF262232 ADB262226:ADB262232 AMX262226:AMX262232 AWT262226:AWT262232 BGP262226:BGP262232 BQL262226:BQL262232 CAH262226:CAH262232 CKD262226:CKD262232 CTZ262226:CTZ262232 DDV262226:DDV262232 DNR262226:DNR262232 DXN262226:DXN262232 EHJ262226:EHJ262232 ERF262226:ERF262232 FBB262226:FBB262232 FKX262226:FKX262232 FUT262226:FUT262232 GEP262226:GEP262232 GOL262226:GOL262232 GYH262226:GYH262232 HID262226:HID262232 HRZ262226:HRZ262232 IBV262226:IBV262232 ILR262226:ILR262232 IVN262226:IVN262232 JFJ262226:JFJ262232 JPF262226:JPF262232 JZB262226:JZB262232 KIX262226:KIX262232 KST262226:KST262232 LCP262226:LCP262232 LML262226:LML262232 LWH262226:LWH262232 MGD262226:MGD262232 MPZ262226:MPZ262232 MZV262226:MZV262232 NJR262226:NJR262232 NTN262226:NTN262232 ODJ262226:ODJ262232 ONF262226:ONF262232 OXB262226:OXB262232 PGX262226:PGX262232 PQT262226:PQT262232 QAP262226:QAP262232 QKL262226:QKL262232 QUH262226:QUH262232 RED262226:RED262232 RNZ262226:RNZ262232 RXV262226:RXV262232 SHR262226:SHR262232 SRN262226:SRN262232 TBJ262226:TBJ262232 TLF262226:TLF262232 TVB262226:TVB262232 UEX262226:UEX262232 UOT262226:UOT262232 UYP262226:UYP262232 VIL262226:VIL262232 VSH262226:VSH262232 WCD262226:WCD262232 WLZ262226:WLZ262232 WVV262226:WVV262232 N327762:N327768 JJ327762:JJ327768 TF327762:TF327768 ADB327762:ADB327768 AMX327762:AMX327768 AWT327762:AWT327768 BGP327762:BGP327768 BQL327762:BQL327768 CAH327762:CAH327768 CKD327762:CKD327768 CTZ327762:CTZ327768 DDV327762:DDV327768 DNR327762:DNR327768 DXN327762:DXN327768 EHJ327762:EHJ327768 ERF327762:ERF327768 FBB327762:FBB327768 FKX327762:FKX327768 FUT327762:FUT327768 GEP327762:GEP327768 GOL327762:GOL327768 GYH327762:GYH327768 HID327762:HID327768 HRZ327762:HRZ327768 IBV327762:IBV327768 ILR327762:ILR327768 IVN327762:IVN327768 JFJ327762:JFJ327768 JPF327762:JPF327768 JZB327762:JZB327768 KIX327762:KIX327768 KST327762:KST327768 LCP327762:LCP327768 LML327762:LML327768 LWH327762:LWH327768 MGD327762:MGD327768 MPZ327762:MPZ327768 MZV327762:MZV327768 NJR327762:NJR327768 NTN327762:NTN327768 ODJ327762:ODJ327768 ONF327762:ONF327768 OXB327762:OXB327768 PGX327762:PGX327768 PQT327762:PQT327768 QAP327762:QAP327768 QKL327762:QKL327768 QUH327762:QUH327768 RED327762:RED327768 RNZ327762:RNZ327768 RXV327762:RXV327768 SHR327762:SHR327768 SRN327762:SRN327768 TBJ327762:TBJ327768 TLF327762:TLF327768 TVB327762:TVB327768 UEX327762:UEX327768 UOT327762:UOT327768 UYP327762:UYP327768 VIL327762:VIL327768 VSH327762:VSH327768 WCD327762:WCD327768 WLZ327762:WLZ327768 WVV327762:WVV327768 N393298:N393304 JJ393298:JJ393304 TF393298:TF393304 ADB393298:ADB393304 AMX393298:AMX393304 AWT393298:AWT393304 BGP393298:BGP393304 BQL393298:BQL393304 CAH393298:CAH393304 CKD393298:CKD393304 CTZ393298:CTZ393304 DDV393298:DDV393304 DNR393298:DNR393304 DXN393298:DXN393304 EHJ393298:EHJ393304 ERF393298:ERF393304 FBB393298:FBB393304 FKX393298:FKX393304 FUT393298:FUT393304 GEP393298:GEP393304 GOL393298:GOL393304 GYH393298:GYH393304 HID393298:HID393304 HRZ393298:HRZ393304 IBV393298:IBV393304 ILR393298:ILR393304 IVN393298:IVN393304 JFJ393298:JFJ393304 JPF393298:JPF393304 JZB393298:JZB393304 KIX393298:KIX393304 KST393298:KST393304 LCP393298:LCP393304 LML393298:LML393304 LWH393298:LWH393304 MGD393298:MGD393304 MPZ393298:MPZ393304 MZV393298:MZV393304 NJR393298:NJR393304 NTN393298:NTN393304 ODJ393298:ODJ393304 ONF393298:ONF393304 OXB393298:OXB393304 PGX393298:PGX393304 PQT393298:PQT393304 QAP393298:QAP393304 QKL393298:QKL393304 QUH393298:QUH393304 RED393298:RED393304 RNZ393298:RNZ393304 RXV393298:RXV393304 SHR393298:SHR393304 SRN393298:SRN393304 TBJ393298:TBJ393304 TLF393298:TLF393304 TVB393298:TVB393304 UEX393298:UEX393304 UOT393298:UOT393304 UYP393298:UYP393304 VIL393298:VIL393304 VSH393298:VSH393304 WCD393298:WCD393304 WLZ393298:WLZ393304 WVV393298:WVV393304 N458834:N458840 JJ458834:JJ458840 TF458834:TF458840 ADB458834:ADB458840 AMX458834:AMX458840 AWT458834:AWT458840 BGP458834:BGP458840 BQL458834:BQL458840 CAH458834:CAH458840 CKD458834:CKD458840 CTZ458834:CTZ458840 DDV458834:DDV458840 DNR458834:DNR458840 DXN458834:DXN458840 EHJ458834:EHJ458840 ERF458834:ERF458840 FBB458834:FBB458840 FKX458834:FKX458840 FUT458834:FUT458840 GEP458834:GEP458840 GOL458834:GOL458840 GYH458834:GYH458840 HID458834:HID458840 HRZ458834:HRZ458840 IBV458834:IBV458840 ILR458834:ILR458840 IVN458834:IVN458840 JFJ458834:JFJ458840 JPF458834:JPF458840 JZB458834:JZB458840 KIX458834:KIX458840 KST458834:KST458840 LCP458834:LCP458840 LML458834:LML458840 LWH458834:LWH458840 MGD458834:MGD458840 MPZ458834:MPZ458840 MZV458834:MZV458840 NJR458834:NJR458840 NTN458834:NTN458840 ODJ458834:ODJ458840 ONF458834:ONF458840 OXB458834:OXB458840 PGX458834:PGX458840 PQT458834:PQT458840 QAP458834:QAP458840 QKL458834:QKL458840 QUH458834:QUH458840 RED458834:RED458840 RNZ458834:RNZ458840 RXV458834:RXV458840 SHR458834:SHR458840 SRN458834:SRN458840 TBJ458834:TBJ458840 TLF458834:TLF458840 TVB458834:TVB458840 UEX458834:UEX458840 UOT458834:UOT458840 UYP458834:UYP458840 VIL458834:VIL458840 VSH458834:VSH458840 WCD458834:WCD458840 WLZ458834:WLZ458840 WVV458834:WVV458840 N524370:N524376 JJ524370:JJ524376 TF524370:TF524376 ADB524370:ADB524376 AMX524370:AMX524376 AWT524370:AWT524376 BGP524370:BGP524376 BQL524370:BQL524376 CAH524370:CAH524376 CKD524370:CKD524376 CTZ524370:CTZ524376 DDV524370:DDV524376 DNR524370:DNR524376 DXN524370:DXN524376 EHJ524370:EHJ524376 ERF524370:ERF524376 FBB524370:FBB524376 FKX524370:FKX524376 FUT524370:FUT524376 GEP524370:GEP524376 GOL524370:GOL524376 GYH524370:GYH524376 HID524370:HID524376 HRZ524370:HRZ524376 IBV524370:IBV524376 ILR524370:ILR524376 IVN524370:IVN524376 JFJ524370:JFJ524376 JPF524370:JPF524376 JZB524370:JZB524376 KIX524370:KIX524376 KST524370:KST524376 LCP524370:LCP524376 LML524370:LML524376 LWH524370:LWH524376 MGD524370:MGD524376 MPZ524370:MPZ524376 MZV524370:MZV524376 NJR524370:NJR524376 NTN524370:NTN524376 ODJ524370:ODJ524376 ONF524370:ONF524376 OXB524370:OXB524376 PGX524370:PGX524376 PQT524370:PQT524376 QAP524370:QAP524376 QKL524370:QKL524376 QUH524370:QUH524376 RED524370:RED524376 RNZ524370:RNZ524376 RXV524370:RXV524376 SHR524370:SHR524376 SRN524370:SRN524376 TBJ524370:TBJ524376 TLF524370:TLF524376 TVB524370:TVB524376 UEX524370:UEX524376 UOT524370:UOT524376 UYP524370:UYP524376 VIL524370:VIL524376 VSH524370:VSH524376 WCD524370:WCD524376 WLZ524370:WLZ524376 WVV524370:WVV524376 N589906:N589912 JJ589906:JJ589912 TF589906:TF589912 ADB589906:ADB589912 AMX589906:AMX589912 AWT589906:AWT589912 BGP589906:BGP589912 BQL589906:BQL589912 CAH589906:CAH589912 CKD589906:CKD589912 CTZ589906:CTZ589912 DDV589906:DDV589912 DNR589906:DNR589912 DXN589906:DXN589912 EHJ589906:EHJ589912 ERF589906:ERF589912 FBB589906:FBB589912 FKX589906:FKX589912 FUT589906:FUT589912 GEP589906:GEP589912 GOL589906:GOL589912 GYH589906:GYH589912 HID589906:HID589912 HRZ589906:HRZ589912 IBV589906:IBV589912 ILR589906:ILR589912 IVN589906:IVN589912 JFJ589906:JFJ589912 JPF589906:JPF589912 JZB589906:JZB589912 KIX589906:KIX589912 KST589906:KST589912 LCP589906:LCP589912 LML589906:LML589912 LWH589906:LWH589912 MGD589906:MGD589912 MPZ589906:MPZ589912 MZV589906:MZV589912 NJR589906:NJR589912 NTN589906:NTN589912 ODJ589906:ODJ589912 ONF589906:ONF589912 OXB589906:OXB589912 PGX589906:PGX589912 PQT589906:PQT589912 QAP589906:QAP589912 QKL589906:QKL589912 QUH589906:QUH589912 RED589906:RED589912 RNZ589906:RNZ589912 RXV589906:RXV589912 SHR589906:SHR589912 SRN589906:SRN589912 TBJ589906:TBJ589912 TLF589906:TLF589912 TVB589906:TVB589912 UEX589906:UEX589912 UOT589906:UOT589912 UYP589906:UYP589912 VIL589906:VIL589912 VSH589906:VSH589912 WCD589906:WCD589912 WLZ589906:WLZ589912 WVV589906:WVV589912 N655442:N655448 JJ655442:JJ655448 TF655442:TF655448 ADB655442:ADB655448 AMX655442:AMX655448 AWT655442:AWT655448 BGP655442:BGP655448 BQL655442:BQL655448 CAH655442:CAH655448 CKD655442:CKD655448 CTZ655442:CTZ655448 DDV655442:DDV655448 DNR655442:DNR655448 DXN655442:DXN655448 EHJ655442:EHJ655448 ERF655442:ERF655448 FBB655442:FBB655448 FKX655442:FKX655448 FUT655442:FUT655448 GEP655442:GEP655448 GOL655442:GOL655448 GYH655442:GYH655448 HID655442:HID655448 HRZ655442:HRZ655448 IBV655442:IBV655448 ILR655442:ILR655448 IVN655442:IVN655448 JFJ655442:JFJ655448 JPF655442:JPF655448 JZB655442:JZB655448 KIX655442:KIX655448 KST655442:KST655448 LCP655442:LCP655448 LML655442:LML655448 LWH655442:LWH655448 MGD655442:MGD655448 MPZ655442:MPZ655448 MZV655442:MZV655448 NJR655442:NJR655448 NTN655442:NTN655448 ODJ655442:ODJ655448 ONF655442:ONF655448 OXB655442:OXB655448 PGX655442:PGX655448 PQT655442:PQT655448 QAP655442:QAP655448 QKL655442:QKL655448 QUH655442:QUH655448 RED655442:RED655448 RNZ655442:RNZ655448 RXV655442:RXV655448 SHR655442:SHR655448 SRN655442:SRN655448 TBJ655442:TBJ655448 TLF655442:TLF655448 TVB655442:TVB655448 UEX655442:UEX655448 UOT655442:UOT655448 UYP655442:UYP655448 VIL655442:VIL655448 VSH655442:VSH655448 WCD655442:WCD655448 WLZ655442:WLZ655448 WVV655442:WVV655448 N720978:N720984 JJ720978:JJ720984 TF720978:TF720984 ADB720978:ADB720984 AMX720978:AMX720984 AWT720978:AWT720984 BGP720978:BGP720984 BQL720978:BQL720984 CAH720978:CAH720984 CKD720978:CKD720984 CTZ720978:CTZ720984 DDV720978:DDV720984 DNR720978:DNR720984 DXN720978:DXN720984 EHJ720978:EHJ720984 ERF720978:ERF720984 FBB720978:FBB720984 FKX720978:FKX720984 FUT720978:FUT720984 GEP720978:GEP720984 GOL720978:GOL720984 GYH720978:GYH720984 HID720978:HID720984 HRZ720978:HRZ720984 IBV720978:IBV720984 ILR720978:ILR720984 IVN720978:IVN720984 JFJ720978:JFJ720984 JPF720978:JPF720984 JZB720978:JZB720984 KIX720978:KIX720984 KST720978:KST720984 LCP720978:LCP720984 LML720978:LML720984 LWH720978:LWH720984 MGD720978:MGD720984 MPZ720978:MPZ720984 MZV720978:MZV720984 NJR720978:NJR720984 NTN720978:NTN720984 ODJ720978:ODJ720984 ONF720978:ONF720984 OXB720978:OXB720984 PGX720978:PGX720984 PQT720978:PQT720984 QAP720978:QAP720984 QKL720978:QKL720984 QUH720978:QUH720984 RED720978:RED720984 RNZ720978:RNZ720984 RXV720978:RXV720984 SHR720978:SHR720984 SRN720978:SRN720984 TBJ720978:TBJ720984 TLF720978:TLF720984 TVB720978:TVB720984 UEX720978:UEX720984 UOT720978:UOT720984 UYP720978:UYP720984 VIL720978:VIL720984 VSH720978:VSH720984 WCD720978:WCD720984 WLZ720978:WLZ720984 WVV720978:WVV720984 N786514:N786520 JJ786514:JJ786520 TF786514:TF786520 ADB786514:ADB786520 AMX786514:AMX786520 AWT786514:AWT786520 BGP786514:BGP786520 BQL786514:BQL786520 CAH786514:CAH786520 CKD786514:CKD786520 CTZ786514:CTZ786520 DDV786514:DDV786520 DNR786514:DNR786520 DXN786514:DXN786520 EHJ786514:EHJ786520 ERF786514:ERF786520 FBB786514:FBB786520 FKX786514:FKX786520 FUT786514:FUT786520 GEP786514:GEP786520 GOL786514:GOL786520 GYH786514:GYH786520 HID786514:HID786520 HRZ786514:HRZ786520 IBV786514:IBV786520 ILR786514:ILR786520 IVN786514:IVN786520 JFJ786514:JFJ786520 JPF786514:JPF786520 JZB786514:JZB786520 KIX786514:KIX786520 KST786514:KST786520 LCP786514:LCP786520 LML786514:LML786520 LWH786514:LWH786520 MGD786514:MGD786520 MPZ786514:MPZ786520 MZV786514:MZV786520 NJR786514:NJR786520 NTN786514:NTN786520 ODJ786514:ODJ786520 ONF786514:ONF786520 OXB786514:OXB786520 PGX786514:PGX786520 PQT786514:PQT786520 QAP786514:QAP786520 QKL786514:QKL786520 QUH786514:QUH786520 RED786514:RED786520 RNZ786514:RNZ786520 RXV786514:RXV786520 SHR786514:SHR786520 SRN786514:SRN786520 TBJ786514:TBJ786520 TLF786514:TLF786520 TVB786514:TVB786520 UEX786514:UEX786520 UOT786514:UOT786520 UYP786514:UYP786520 VIL786514:VIL786520 VSH786514:VSH786520 WCD786514:WCD786520 WLZ786514:WLZ786520 WVV786514:WVV786520 N852050:N852056 JJ852050:JJ852056 TF852050:TF852056 ADB852050:ADB852056 AMX852050:AMX852056 AWT852050:AWT852056 BGP852050:BGP852056 BQL852050:BQL852056 CAH852050:CAH852056 CKD852050:CKD852056 CTZ852050:CTZ852056 DDV852050:DDV852056 DNR852050:DNR852056 DXN852050:DXN852056 EHJ852050:EHJ852056 ERF852050:ERF852056 FBB852050:FBB852056 FKX852050:FKX852056 FUT852050:FUT852056 GEP852050:GEP852056 GOL852050:GOL852056 GYH852050:GYH852056 HID852050:HID852056 HRZ852050:HRZ852056 IBV852050:IBV852056 ILR852050:ILR852056 IVN852050:IVN852056 JFJ852050:JFJ852056 JPF852050:JPF852056 JZB852050:JZB852056 KIX852050:KIX852056 KST852050:KST852056 LCP852050:LCP852056 LML852050:LML852056 LWH852050:LWH852056 MGD852050:MGD852056 MPZ852050:MPZ852056 MZV852050:MZV852056 NJR852050:NJR852056 NTN852050:NTN852056 ODJ852050:ODJ852056 ONF852050:ONF852056 OXB852050:OXB852056 PGX852050:PGX852056 PQT852050:PQT852056 QAP852050:QAP852056 QKL852050:QKL852056 QUH852050:QUH852056 RED852050:RED852056 RNZ852050:RNZ852056 RXV852050:RXV852056 SHR852050:SHR852056 SRN852050:SRN852056 TBJ852050:TBJ852056 TLF852050:TLF852056 TVB852050:TVB852056 UEX852050:UEX852056 UOT852050:UOT852056 UYP852050:UYP852056 VIL852050:VIL852056 VSH852050:VSH852056 WCD852050:WCD852056 WLZ852050:WLZ852056 WVV852050:WVV852056 N917586:N917592 JJ917586:JJ917592 TF917586:TF917592 ADB917586:ADB917592 AMX917586:AMX917592 AWT917586:AWT917592 BGP917586:BGP917592 BQL917586:BQL917592 CAH917586:CAH917592 CKD917586:CKD917592 CTZ917586:CTZ917592 DDV917586:DDV917592 DNR917586:DNR917592 DXN917586:DXN917592 EHJ917586:EHJ917592 ERF917586:ERF917592 FBB917586:FBB917592 FKX917586:FKX917592 FUT917586:FUT917592 GEP917586:GEP917592 GOL917586:GOL917592 GYH917586:GYH917592 HID917586:HID917592 HRZ917586:HRZ917592 IBV917586:IBV917592 ILR917586:ILR917592 IVN917586:IVN917592 JFJ917586:JFJ917592 JPF917586:JPF917592 JZB917586:JZB917592 KIX917586:KIX917592 KST917586:KST917592 LCP917586:LCP917592 LML917586:LML917592 LWH917586:LWH917592 MGD917586:MGD917592 MPZ917586:MPZ917592 MZV917586:MZV917592 NJR917586:NJR917592 NTN917586:NTN917592 ODJ917586:ODJ917592 ONF917586:ONF917592 OXB917586:OXB917592 PGX917586:PGX917592 PQT917586:PQT917592 QAP917586:QAP917592 QKL917586:QKL917592 QUH917586:QUH917592 RED917586:RED917592 RNZ917586:RNZ917592 RXV917586:RXV917592 SHR917586:SHR917592 SRN917586:SRN917592 TBJ917586:TBJ917592 TLF917586:TLF917592 TVB917586:TVB917592 UEX917586:UEX917592 UOT917586:UOT917592 UYP917586:UYP917592 VIL917586:VIL917592 VSH917586:VSH917592 WCD917586:WCD917592 WLZ917586:WLZ917592 WVV917586:WVV917592 N983122:N983128 JJ983122:JJ983128 TF983122:TF983128 ADB983122:ADB983128 AMX983122:AMX983128 AWT983122:AWT983128 BGP983122:BGP983128 BQL983122:BQL983128 CAH983122:CAH983128 CKD983122:CKD983128 CTZ983122:CTZ983128 DDV983122:DDV983128 DNR983122:DNR983128 DXN983122:DXN983128 EHJ983122:EHJ983128 ERF983122:ERF983128 FBB983122:FBB983128 FKX983122:FKX983128 FUT983122:FUT983128 GEP983122:GEP983128 GOL983122:GOL983128 GYH983122:GYH983128 HID983122:HID983128 HRZ983122:HRZ983128 IBV983122:IBV983128 ILR983122:ILR983128 IVN983122:IVN983128 JFJ983122:JFJ983128 JPF983122:JPF983128 JZB983122:JZB983128 KIX983122:KIX983128 KST983122:KST983128 LCP983122:LCP983128 LML983122:LML983128 LWH983122:LWH983128 MGD983122:MGD983128 MPZ983122:MPZ983128 MZV983122:MZV983128 NJR983122:NJR983128 NTN983122:NTN983128 ODJ983122:ODJ983128 ONF983122:ONF983128 OXB983122:OXB983128 PGX983122:PGX983128 PQT983122:PQT983128 QAP983122:QAP983128 QKL983122:QKL983128 QUH983122:QUH983128 RED983122:RED983128 RNZ983122:RNZ983128 RXV983122:RXV983128 SHR983122:SHR983128 SRN983122:SRN983128 TBJ983122:TBJ983128 TLF983122:TLF983128 TVB983122:TVB983128 UEX983122:UEX983128 UOT983122:UOT983128 UYP983122:UYP983128 VIL983122:VIL983128 VSH983122:VSH983128 WCD983122:WCD983128 WLZ983122:WLZ983128 WVV983122:WVV983128 WVV983091:WVV983097 JJ46:JJ52 TF46:TF52 ADB46:ADB52 AMX46:AMX52 AWT46:AWT52 BGP46:BGP52 BQL46:BQL52 CAH46:CAH52 CKD46:CKD52 CTZ46:CTZ52 DDV46:DDV52 DNR46:DNR52 DXN46:DXN52 EHJ46:EHJ52 ERF46:ERF52 FBB46:FBB52 FKX46:FKX52 FUT46:FUT52 GEP46:GEP52 GOL46:GOL52 GYH46:GYH52 HID46:HID52 HRZ46:HRZ52 IBV46:IBV52 ILR46:ILR52 IVN46:IVN52 JFJ46:JFJ52 JPF46:JPF52 JZB46:JZB52 KIX46:KIX52 KST46:KST52 LCP46:LCP52 LML46:LML52 LWH46:LWH52 MGD46:MGD52 MPZ46:MPZ52 MZV46:MZV52 NJR46:NJR52 NTN46:NTN52 ODJ46:ODJ52 ONF46:ONF52 OXB46:OXB52 PGX46:PGX52 PQT46:PQT52 QAP46:QAP52 QKL46:QKL52 QUH46:QUH52 RED46:RED52 RNZ46:RNZ52 RXV46:RXV52 SHR46:SHR52 SRN46:SRN52 TBJ46:TBJ52 TLF46:TLF52 TVB46:TVB52 UEX46:UEX52 UOT46:UOT52 UYP46:UYP52 VIL46:VIL52 VSH46:VSH52 WCD46:WCD52 WLZ46:WLZ52 WVV46:WVV52 N65587:N65593 JJ65587:JJ65593 TF65587:TF65593 ADB65587:ADB65593 AMX65587:AMX65593 AWT65587:AWT65593 BGP65587:BGP65593 BQL65587:BQL65593 CAH65587:CAH65593 CKD65587:CKD65593 CTZ65587:CTZ65593 DDV65587:DDV65593 DNR65587:DNR65593 DXN65587:DXN65593 EHJ65587:EHJ65593 ERF65587:ERF65593 FBB65587:FBB65593 FKX65587:FKX65593 FUT65587:FUT65593 GEP65587:GEP65593 GOL65587:GOL65593 GYH65587:GYH65593 HID65587:HID65593 HRZ65587:HRZ65593 IBV65587:IBV65593 ILR65587:ILR65593 IVN65587:IVN65593 JFJ65587:JFJ65593 JPF65587:JPF65593 JZB65587:JZB65593 KIX65587:KIX65593 KST65587:KST65593 LCP65587:LCP65593 LML65587:LML65593 LWH65587:LWH65593 MGD65587:MGD65593 MPZ65587:MPZ65593 MZV65587:MZV65593 NJR65587:NJR65593 NTN65587:NTN65593 ODJ65587:ODJ65593 ONF65587:ONF65593 OXB65587:OXB65593 PGX65587:PGX65593 PQT65587:PQT65593 QAP65587:QAP65593 QKL65587:QKL65593 QUH65587:QUH65593 RED65587:RED65593 RNZ65587:RNZ65593 RXV65587:RXV65593 SHR65587:SHR65593 SRN65587:SRN65593 TBJ65587:TBJ65593 TLF65587:TLF65593 TVB65587:TVB65593 UEX65587:UEX65593 UOT65587:UOT65593 UYP65587:UYP65593 VIL65587:VIL65593 VSH65587:VSH65593 WCD65587:WCD65593 WLZ65587:WLZ65593 WVV65587:WVV65593 N131123:N131129 JJ131123:JJ131129 TF131123:TF131129 ADB131123:ADB131129 AMX131123:AMX131129 AWT131123:AWT131129 BGP131123:BGP131129 BQL131123:BQL131129 CAH131123:CAH131129 CKD131123:CKD131129 CTZ131123:CTZ131129 DDV131123:DDV131129 DNR131123:DNR131129 DXN131123:DXN131129 EHJ131123:EHJ131129 ERF131123:ERF131129 FBB131123:FBB131129 FKX131123:FKX131129 FUT131123:FUT131129 GEP131123:GEP131129 GOL131123:GOL131129 GYH131123:GYH131129 HID131123:HID131129 HRZ131123:HRZ131129 IBV131123:IBV131129 ILR131123:ILR131129 IVN131123:IVN131129 JFJ131123:JFJ131129 JPF131123:JPF131129 JZB131123:JZB131129 KIX131123:KIX131129 KST131123:KST131129 LCP131123:LCP131129 LML131123:LML131129 LWH131123:LWH131129 MGD131123:MGD131129 MPZ131123:MPZ131129 MZV131123:MZV131129 NJR131123:NJR131129 NTN131123:NTN131129 ODJ131123:ODJ131129 ONF131123:ONF131129 OXB131123:OXB131129 PGX131123:PGX131129 PQT131123:PQT131129 QAP131123:QAP131129 QKL131123:QKL131129 QUH131123:QUH131129 RED131123:RED131129 RNZ131123:RNZ131129 RXV131123:RXV131129 SHR131123:SHR131129 SRN131123:SRN131129 TBJ131123:TBJ131129 TLF131123:TLF131129 TVB131123:TVB131129 UEX131123:UEX131129 UOT131123:UOT131129 UYP131123:UYP131129 VIL131123:VIL131129 VSH131123:VSH131129 WCD131123:WCD131129 WLZ131123:WLZ131129 WVV131123:WVV131129 N196659:N196665 JJ196659:JJ196665 TF196659:TF196665 ADB196659:ADB196665 AMX196659:AMX196665 AWT196659:AWT196665 BGP196659:BGP196665 BQL196659:BQL196665 CAH196659:CAH196665 CKD196659:CKD196665 CTZ196659:CTZ196665 DDV196659:DDV196665 DNR196659:DNR196665 DXN196659:DXN196665 EHJ196659:EHJ196665 ERF196659:ERF196665 FBB196659:FBB196665 FKX196659:FKX196665 FUT196659:FUT196665 GEP196659:GEP196665 GOL196659:GOL196665 GYH196659:GYH196665 HID196659:HID196665 HRZ196659:HRZ196665 IBV196659:IBV196665 ILR196659:ILR196665 IVN196659:IVN196665 JFJ196659:JFJ196665 JPF196659:JPF196665 JZB196659:JZB196665 KIX196659:KIX196665 KST196659:KST196665 LCP196659:LCP196665 LML196659:LML196665 LWH196659:LWH196665 MGD196659:MGD196665 MPZ196659:MPZ196665 MZV196659:MZV196665 NJR196659:NJR196665 NTN196659:NTN196665 ODJ196659:ODJ196665 ONF196659:ONF196665 OXB196659:OXB196665 PGX196659:PGX196665 PQT196659:PQT196665 QAP196659:QAP196665 QKL196659:QKL196665 QUH196659:QUH196665 RED196659:RED196665 RNZ196659:RNZ196665 RXV196659:RXV196665 SHR196659:SHR196665 SRN196659:SRN196665 TBJ196659:TBJ196665 TLF196659:TLF196665 TVB196659:TVB196665 UEX196659:UEX196665 UOT196659:UOT196665 UYP196659:UYP196665 VIL196659:VIL196665 VSH196659:VSH196665 WCD196659:WCD196665 WLZ196659:WLZ196665 WVV196659:WVV196665 N262195:N262201 JJ262195:JJ262201 TF262195:TF262201 ADB262195:ADB262201 AMX262195:AMX262201 AWT262195:AWT262201 BGP262195:BGP262201 BQL262195:BQL262201 CAH262195:CAH262201 CKD262195:CKD262201 CTZ262195:CTZ262201 DDV262195:DDV262201 DNR262195:DNR262201 DXN262195:DXN262201 EHJ262195:EHJ262201 ERF262195:ERF262201 FBB262195:FBB262201 FKX262195:FKX262201 FUT262195:FUT262201 GEP262195:GEP262201 GOL262195:GOL262201 GYH262195:GYH262201 HID262195:HID262201 HRZ262195:HRZ262201 IBV262195:IBV262201 ILR262195:ILR262201 IVN262195:IVN262201 JFJ262195:JFJ262201 JPF262195:JPF262201 JZB262195:JZB262201 KIX262195:KIX262201 KST262195:KST262201 LCP262195:LCP262201 LML262195:LML262201 LWH262195:LWH262201 MGD262195:MGD262201 MPZ262195:MPZ262201 MZV262195:MZV262201 NJR262195:NJR262201 NTN262195:NTN262201 ODJ262195:ODJ262201 ONF262195:ONF262201 OXB262195:OXB262201 PGX262195:PGX262201 PQT262195:PQT262201 QAP262195:QAP262201 QKL262195:QKL262201 QUH262195:QUH262201 RED262195:RED262201 RNZ262195:RNZ262201 RXV262195:RXV262201 SHR262195:SHR262201 SRN262195:SRN262201 TBJ262195:TBJ262201 TLF262195:TLF262201 TVB262195:TVB262201 UEX262195:UEX262201 UOT262195:UOT262201 UYP262195:UYP262201 VIL262195:VIL262201 VSH262195:VSH262201 WCD262195:WCD262201 WLZ262195:WLZ262201 WVV262195:WVV262201 N327731:N327737 JJ327731:JJ327737 TF327731:TF327737 ADB327731:ADB327737 AMX327731:AMX327737 AWT327731:AWT327737 BGP327731:BGP327737 BQL327731:BQL327737 CAH327731:CAH327737 CKD327731:CKD327737 CTZ327731:CTZ327737 DDV327731:DDV327737 DNR327731:DNR327737 DXN327731:DXN327737 EHJ327731:EHJ327737 ERF327731:ERF327737 FBB327731:FBB327737 FKX327731:FKX327737 FUT327731:FUT327737 GEP327731:GEP327737 GOL327731:GOL327737 GYH327731:GYH327737 HID327731:HID327737 HRZ327731:HRZ327737 IBV327731:IBV327737 ILR327731:ILR327737 IVN327731:IVN327737 JFJ327731:JFJ327737 JPF327731:JPF327737 JZB327731:JZB327737 KIX327731:KIX327737 KST327731:KST327737 LCP327731:LCP327737 LML327731:LML327737 LWH327731:LWH327737 MGD327731:MGD327737 MPZ327731:MPZ327737 MZV327731:MZV327737 NJR327731:NJR327737 NTN327731:NTN327737 ODJ327731:ODJ327737 ONF327731:ONF327737 OXB327731:OXB327737 PGX327731:PGX327737 PQT327731:PQT327737 QAP327731:QAP327737 QKL327731:QKL327737 QUH327731:QUH327737 RED327731:RED327737 RNZ327731:RNZ327737 RXV327731:RXV327737 SHR327731:SHR327737 SRN327731:SRN327737 TBJ327731:TBJ327737 TLF327731:TLF327737 TVB327731:TVB327737 UEX327731:UEX327737 UOT327731:UOT327737 UYP327731:UYP327737 VIL327731:VIL327737 VSH327731:VSH327737 WCD327731:WCD327737 WLZ327731:WLZ327737 WVV327731:WVV327737 N393267:N393273 JJ393267:JJ393273 TF393267:TF393273 ADB393267:ADB393273 AMX393267:AMX393273 AWT393267:AWT393273 BGP393267:BGP393273 BQL393267:BQL393273 CAH393267:CAH393273 CKD393267:CKD393273 CTZ393267:CTZ393273 DDV393267:DDV393273 DNR393267:DNR393273 DXN393267:DXN393273 EHJ393267:EHJ393273 ERF393267:ERF393273 FBB393267:FBB393273 FKX393267:FKX393273 FUT393267:FUT393273 GEP393267:GEP393273 GOL393267:GOL393273 GYH393267:GYH393273 HID393267:HID393273 HRZ393267:HRZ393273 IBV393267:IBV393273 ILR393267:ILR393273 IVN393267:IVN393273 JFJ393267:JFJ393273 JPF393267:JPF393273 JZB393267:JZB393273 KIX393267:KIX393273 KST393267:KST393273 LCP393267:LCP393273 LML393267:LML393273 LWH393267:LWH393273 MGD393267:MGD393273 MPZ393267:MPZ393273 MZV393267:MZV393273 NJR393267:NJR393273 NTN393267:NTN393273 ODJ393267:ODJ393273 ONF393267:ONF393273 OXB393267:OXB393273 PGX393267:PGX393273 PQT393267:PQT393273 QAP393267:QAP393273 QKL393267:QKL393273 QUH393267:QUH393273 RED393267:RED393273 RNZ393267:RNZ393273 RXV393267:RXV393273 SHR393267:SHR393273 SRN393267:SRN393273 TBJ393267:TBJ393273 TLF393267:TLF393273 TVB393267:TVB393273 UEX393267:UEX393273 UOT393267:UOT393273 UYP393267:UYP393273 VIL393267:VIL393273 VSH393267:VSH393273 WCD393267:WCD393273 WLZ393267:WLZ393273 WVV393267:WVV393273 N458803:N458809 JJ458803:JJ458809 TF458803:TF458809 ADB458803:ADB458809 AMX458803:AMX458809 AWT458803:AWT458809 BGP458803:BGP458809 BQL458803:BQL458809 CAH458803:CAH458809 CKD458803:CKD458809 CTZ458803:CTZ458809 DDV458803:DDV458809 DNR458803:DNR458809 DXN458803:DXN458809 EHJ458803:EHJ458809 ERF458803:ERF458809 FBB458803:FBB458809 FKX458803:FKX458809 FUT458803:FUT458809 GEP458803:GEP458809 GOL458803:GOL458809 GYH458803:GYH458809 HID458803:HID458809 HRZ458803:HRZ458809 IBV458803:IBV458809 ILR458803:ILR458809 IVN458803:IVN458809 JFJ458803:JFJ458809 JPF458803:JPF458809 JZB458803:JZB458809 KIX458803:KIX458809 KST458803:KST458809 LCP458803:LCP458809 LML458803:LML458809 LWH458803:LWH458809 MGD458803:MGD458809 MPZ458803:MPZ458809 MZV458803:MZV458809 NJR458803:NJR458809 NTN458803:NTN458809 ODJ458803:ODJ458809 ONF458803:ONF458809 OXB458803:OXB458809 PGX458803:PGX458809 PQT458803:PQT458809 QAP458803:QAP458809 QKL458803:QKL458809 QUH458803:QUH458809 RED458803:RED458809 RNZ458803:RNZ458809 RXV458803:RXV458809 SHR458803:SHR458809 SRN458803:SRN458809 TBJ458803:TBJ458809 TLF458803:TLF458809 TVB458803:TVB458809 UEX458803:UEX458809 UOT458803:UOT458809 UYP458803:UYP458809 VIL458803:VIL458809 VSH458803:VSH458809 WCD458803:WCD458809 WLZ458803:WLZ458809 WVV458803:WVV458809 N524339:N524345 JJ524339:JJ524345 TF524339:TF524345 ADB524339:ADB524345 AMX524339:AMX524345 AWT524339:AWT524345 BGP524339:BGP524345 BQL524339:BQL524345 CAH524339:CAH524345 CKD524339:CKD524345 CTZ524339:CTZ524345 DDV524339:DDV524345 DNR524339:DNR524345 DXN524339:DXN524345 EHJ524339:EHJ524345 ERF524339:ERF524345 FBB524339:FBB524345 FKX524339:FKX524345 FUT524339:FUT524345 GEP524339:GEP524345 GOL524339:GOL524345 GYH524339:GYH524345 HID524339:HID524345 HRZ524339:HRZ524345 IBV524339:IBV524345 ILR524339:ILR524345 IVN524339:IVN524345 JFJ524339:JFJ524345 JPF524339:JPF524345 JZB524339:JZB524345 KIX524339:KIX524345 KST524339:KST524345 LCP524339:LCP524345 LML524339:LML524345 LWH524339:LWH524345 MGD524339:MGD524345 MPZ524339:MPZ524345 MZV524339:MZV524345 NJR524339:NJR524345 NTN524339:NTN524345 ODJ524339:ODJ524345 ONF524339:ONF524345 OXB524339:OXB524345 PGX524339:PGX524345 PQT524339:PQT524345 QAP524339:QAP524345 QKL524339:QKL524345 QUH524339:QUH524345 RED524339:RED524345 RNZ524339:RNZ524345 RXV524339:RXV524345 SHR524339:SHR524345 SRN524339:SRN524345 TBJ524339:TBJ524345 TLF524339:TLF524345 TVB524339:TVB524345 UEX524339:UEX524345 UOT524339:UOT524345 UYP524339:UYP524345 VIL524339:VIL524345 VSH524339:VSH524345 WCD524339:WCD524345 WLZ524339:WLZ524345 WVV524339:WVV524345 N589875:N589881 JJ589875:JJ589881 TF589875:TF589881 ADB589875:ADB589881 AMX589875:AMX589881 AWT589875:AWT589881 BGP589875:BGP589881 BQL589875:BQL589881 CAH589875:CAH589881 CKD589875:CKD589881 CTZ589875:CTZ589881 DDV589875:DDV589881 DNR589875:DNR589881 DXN589875:DXN589881 EHJ589875:EHJ589881 ERF589875:ERF589881 FBB589875:FBB589881 FKX589875:FKX589881 FUT589875:FUT589881 GEP589875:GEP589881 GOL589875:GOL589881 GYH589875:GYH589881 HID589875:HID589881 HRZ589875:HRZ589881 IBV589875:IBV589881 ILR589875:ILR589881 IVN589875:IVN589881 JFJ589875:JFJ589881 JPF589875:JPF589881 JZB589875:JZB589881 KIX589875:KIX589881 KST589875:KST589881 LCP589875:LCP589881 LML589875:LML589881 LWH589875:LWH589881 MGD589875:MGD589881 MPZ589875:MPZ589881 MZV589875:MZV589881 NJR589875:NJR589881 NTN589875:NTN589881 ODJ589875:ODJ589881 ONF589875:ONF589881 OXB589875:OXB589881 PGX589875:PGX589881 PQT589875:PQT589881 QAP589875:QAP589881 QKL589875:QKL589881 QUH589875:QUH589881 RED589875:RED589881 RNZ589875:RNZ589881 RXV589875:RXV589881 SHR589875:SHR589881 SRN589875:SRN589881 TBJ589875:TBJ589881 TLF589875:TLF589881 TVB589875:TVB589881 UEX589875:UEX589881 UOT589875:UOT589881 UYP589875:UYP589881 VIL589875:VIL589881 VSH589875:VSH589881 WCD589875:WCD589881 WLZ589875:WLZ589881 WVV589875:WVV589881 N655411:N655417 JJ655411:JJ655417 TF655411:TF655417 ADB655411:ADB655417 AMX655411:AMX655417 AWT655411:AWT655417 BGP655411:BGP655417 BQL655411:BQL655417 CAH655411:CAH655417 CKD655411:CKD655417 CTZ655411:CTZ655417 DDV655411:DDV655417 DNR655411:DNR655417 DXN655411:DXN655417 EHJ655411:EHJ655417 ERF655411:ERF655417 FBB655411:FBB655417 FKX655411:FKX655417 FUT655411:FUT655417 GEP655411:GEP655417 GOL655411:GOL655417 GYH655411:GYH655417 HID655411:HID655417 HRZ655411:HRZ655417 IBV655411:IBV655417 ILR655411:ILR655417 IVN655411:IVN655417 JFJ655411:JFJ655417 JPF655411:JPF655417 JZB655411:JZB655417 KIX655411:KIX655417 KST655411:KST655417 LCP655411:LCP655417 LML655411:LML655417 LWH655411:LWH655417 MGD655411:MGD655417 MPZ655411:MPZ655417 MZV655411:MZV655417 NJR655411:NJR655417 NTN655411:NTN655417 ODJ655411:ODJ655417 ONF655411:ONF655417 OXB655411:OXB655417 PGX655411:PGX655417 PQT655411:PQT655417 QAP655411:QAP655417 QKL655411:QKL655417 QUH655411:QUH655417 RED655411:RED655417 RNZ655411:RNZ655417 RXV655411:RXV655417 SHR655411:SHR655417 SRN655411:SRN655417 TBJ655411:TBJ655417 TLF655411:TLF655417 TVB655411:TVB655417 UEX655411:UEX655417 UOT655411:UOT655417 UYP655411:UYP655417 VIL655411:VIL655417 VSH655411:VSH655417 WCD655411:WCD655417 WLZ655411:WLZ655417 WVV655411:WVV655417 N720947:N720953 JJ720947:JJ720953 TF720947:TF720953 ADB720947:ADB720953 AMX720947:AMX720953 AWT720947:AWT720953 BGP720947:BGP720953 BQL720947:BQL720953 CAH720947:CAH720953 CKD720947:CKD720953 CTZ720947:CTZ720953 DDV720947:DDV720953 DNR720947:DNR720953 DXN720947:DXN720953 EHJ720947:EHJ720953 ERF720947:ERF720953 FBB720947:FBB720953 FKX720947:FKX720953 FUT720947:FUT720953 GEP720947:GEP720953 GOL720947:GOL720953 GYH720947:GYH720953 HID720947:HID720953 HRZ720947:HRZ720953 IBV720947:IBV720953 ILR720947:ILR720953 IVN720947:IVN720953 JFJ720947:JFJ720953 JPF720947:JPF720953 JZB720947:JZB720953 KIX720947:KIX720953 KST720947:KST720953 LCP720947:LCP720953 LML720947:LML720953 LWH720947:LWH720953 MGD720947:MGD720953 MPZ720947:MPZ720953 MZV720947:MZV720953 NJR720947:NJR720953 NTN720947:NTN720953 ODJ720947:ODJ720953 ONF720947:ONF720953 OXB720947:OXB720953 PGX720947:PGX720953 PQT720947:PQT720953 QAP720947:QAP720953 QKL720947:QKL720953 QUH720947:QUH720953 RED720947:RED720953 RNZ720947:RNZ720953 RXV720947:RXV720953 SHR720947:SHR720953 SRN720947:SRN720953 TBJ720947:TBJ720953 TLF720947:TLF720953 TVB720947:TVB720953 UEX720947:UEX720953 UOT720947:UOT720953 UYP720947:UYP720953 VIL720947:VIL720953 VSH720947:VSH720953 WCD720947:WCD720953 WLZ720947:WLZ720953 WVV720947:WVV720953 N786483:N786489 JJ786483:JJ786489 TF786483:TF786489 ADB786483:ADB786489 AMX786483:AMX786489 AWT786483:AWT786489 BGP786483:BGP786489 BQL786483:BQL786489 CAH786483:CAH786489 CKD786483:CKD786489 CTZ786483:CTZ786489 DDV786483:DDV786489 DNR786483:DNR786489 DXN786483:DXN786489 EHJ786483:EHJ786489 ERF786483:ERF786489 FBB786483:FBB786489 FKX786483:FKX786489 FUT786483:FUT786489 GEP786483:GEP786489 GOL786483:GOL786489 GYH786483:GYH786489 HID786483:HID786489 HRZ786483:HRZ786489 IBV786483:IBV786489 ILR786483:ILR786489 IVN786483:IVN786489 JFJ786483:JFJ786489 JPF786483:JPF786489 JZB786483:JZB786489 KIX786483:KIX786489 KST786483:KST786489 LCP786483:LCP786489 LML786483:LML786489 LWH786483:LWH786489 MGD786483:MGD786489 MPZ786483:MPZ786489 MZV786483:MZV786489 NJR786483:NJR786489 NTN786483:NTN786489 ODJ786483:ODJ786489 ONF786483:ONF786489 OXB786483:OXB786489 PGX786483:PGX786489 PQT786483:PQT786489 QAP786483:QAP786489 QKL786483:QKL786489 QUH786483:QUH786489 RED786483:RED786489 RNZ786483:RNZ786489 RXV786483:RXV786489 SHR786483:SHR786489 SRN786483:SRN786489 TBJ786483:TBJ786489 TLF786483:TLF786489 TVB786483:TVB786489 UEX786483:UEX786489 UOT786483:UOT786489 UYP786483:UYP786489 VIL786483:VIL786489 VSH786483:VSH786489 WCD786483:WCD786489 WLZ786483:WLZ786489 WVV786483:WVV786489 N852019:N852025 JJ852019:JJ852025 TF852019:TF852025 ADB852019:ADB852025 AMX852019:AMX852025 AWT852019:AWT852025 BGP852019:BGP852025 BQL852019:BQL852025 CAH852019:CAH852025 CKD852019:CKD852025 CTZ852019:CTZ852025 DDV852019:DDV852025 DNR852019:DNR852025 DXN852019:DXN852025 EHJ852019:EHJ852025 ERF852019:ERF852025 FBB852019:FBB852025 FKX852019:FKX852025 FUT852019:FUT852025 GEP852019:GEP852025 GOL852019:GOL852025 GYH852019:GYH852025 HID852019:HID852025 HRZ852019:HRZ852025 IBV852019:IBV852025 ILR852019:ILR852025 IVN852019:IVN852025 JFJ852019:JFJ852025 JPF852019:JPF852025 JZB852019:JZB852025 KIX852019:KIX852025 KST852019:KST852025 LCP852019:LCP852025 LML852019:LML852025 LWH852019:LWH852025 MGD852019:MGD852025 MPZ852019:MPZ852025 MZV852019:MZV852025 NJR852019:NJR852025 NTN852019:NTN852025 ODJ852019:ODJ852025 ONF852019:ONF852025 OXB852019:OXB852025 PGX852019:PGX852025 PQT852019:PQT852025 QAP852019:QAP852025 QKL852019:QKL852025 QUH852019:QUH852025 RED852019:RED852025 RNZ852019:RNZ852025 RXV852019:RXV852025 SHR852019:SHR852025 SRN852019:SRN852025 TBJ852019:TBJ852025 TLF852019:TLF852025 TVB852019:TVB852025 UEX852019:UEX852025 UOT852019:UOT852025 UYP852019:UYP852025 VIL852019:VIL852025 VSH852019:VSH852025 WCD852019:WCD852025 WLZ852019:WLZ852025 WVV852019:WVV852025 N917555:N917561 JJ917555:JJ917561 TF917555:TF917561 ADB917555:ADB917561 AMX917555:AMX917561 AWT917555:AWT917561 BGP917555:BGP917561 BQL917555:BQL917561 CAH917555:CAH917561 CKD917555:CKD917561 CTZ917555:CTZ917561 DDV917555:DDV917561 DNR917555:DNR917561 DXN917555:DXN917561 EHJ917555:EHJ917561 ERF917555:ERF917561 FBB917555:FBB917561 FKX917555:FKX917561 FUT917555:FUT917561 GEP917555:GEP917561 GOL917555:GOL917561 GYH917555:GYH917561 HID917555:HID917561 HRZ917555:HRZ917561 IBV917555:IBV917561 ILR917555:ILR917561 IVN917555:IVN917561 JFJ917555:JFJ917561 JPF917555:JPF917561 JZB917555:JZB917561 KIX917555:KIX917561 KST917555:KST917561 LCP917555:LCP917561 LML917555:LML917561 LWH917555:LWH917561 MGD917555:MGD917561 MPZ917555:MPZ917561 MZV917555:MZV917561 NJR917555:NJR917561 NTN917555:NTN917561 ODJ917555:ODJ917561 ONF917555:ONF917561 OXB917555:OXB917561 PGX917555:PGX917561 PQT917555:PQT917561 QAP917555:QAP917561 QKL917555:QKL917561 QUH917555:QUH917561 RED917555:RED917561 RNZ917555:RNZ917561 RXV917555:RXV917561 SHR917555:SHR917561 SRN917555:SRN917561 TBJ917555:TBJ917561 TLF917555:TLF917561 TVB917555:TVB917561 UEX917555:UEX917561 UOT917555:UOT917561 UYP917555:UYP917561 VIL917555:VIL917561 VSH917555:VSH917561 WCD917555:WCD917561 WLZ917555:WLZ917561 WVV917555:WVV917561 N983091:N983097 JJ983091:JJ983097 TF983091:TF983097 ADB983091:ADB983097 AMX983091:AMX983097 AWT983091:AWT983097 BGP983091:BGP983097 BQL983091:BQL983097 CAH983091:CAH983097 CKD983091:CKD983097 CTZ983091:CTZ983097 DDV983091:DDV983097 DNR983091:DNR983097 DXN983091:DXN983097 EHJ983091:EHJ983097 ERF983091:ERF983097 FBB983091:FBB983097 FKX983091:FKX983097 FUT983091:FUT983097 GEP983091:GEP983097 GOL983091:GOL983097 GYH983091:GYH983097 HID983091:HID983097 HRZ983091:HRZ983097 IBV983091:IBV983097 ILR983091:ILR983097 IVN983091:IVN983097 JFJ983091:JFJ983097 JPF983091:JPF983097 JZB983091:JZB983097 KIX983091:KIX983097 KST983091:KST983097 LCP983091:LCP983097 LML983091:LML983097 LWH983091:LWH983097 MGD983091:MGD983097 MPZ983091:MPZ983097 MZV983091:MZV983097 NJR983091:NJR983097 NTN983091:NTN983097 ODJ983091:ODJ983097 ONF983091:ONF983097 OXB983091:OXB983097 PGX983091:PGX983097 PQT983091:PQT983097 QAP983091:QAP983097 QKL983091:QKL983097 QUH983091:QUH983097 RED983091:RED983097 RNZ983091:RNZ983097 RXV983091:RXV983097 SHR983091:SHR983097 SRN983091:SRN983097 TBJ983091:TBJ983097 TLF983091:TLF983097 TVB983091:TVB983097 UEX983091:UEX983097 UOT983091:UOT983097 UYP983091:UYP983097 VIL983091:VIL983097 VSH983091:VSH983097 WVV77:WVV88 JJ77:JJ88 TF77:TF88 ADB77:ADB88 AMX77:AMX88 AWT77:AWT88 BGP77:BGP88 BQL77:BQL88 CAH77:CAH88 CKD77:CKD88 CTZ77:CTZ88 DDV77:DDV88 DNR77:DNR88 DXN77:DXN88 EHJ77:EHJ88 ERF77:ERF88 FBB77:FBB88 FKX77:FKX88 FUT77:FUT88 GEP77:GEP88 GOL77:GOL88 GYH77:GYH88 HID77:HID88 HRZ77:HRZ88 IBV77:IBV88 ILR77:ILR88 IVN77:IVN88 JFJ77:JFJ88 JPF77:JPF88 JZB77:JZB88 KIX77:KIX88 KST77:KST88 LCP77:LCP88 LML77:LML88 LWH77:LWH88 MGD77:MGD88 MPZ77:MPZ88 MZV77:MZV88 NJR77:NJR88 NTN77:NTN88 ODJ77:ODJ88 ONF77:ONF88 OXB77:OXB88 PGX77:PGX88 PQT77:PQT88 QAP77:QAP88 QKL77:QKL88 QUH77:QUH88 RED77:RED88 RNZ77:RNZ88 RXV77:RXV88 SHR77:SHR88 SRN77:SRN88 TBJ77:TBJ88 TLF77:TLF88 TVB77:TVB88 UEX77:UEX88 UOT77:UOT88 UYP77:UYP88 VIL77:VIL88 VSH77:VSH88 WCD77:WCD88 WLZ77:WLZ88">
      <formula1>"○,　,対象外"</formula1>
    </dataValidation>
    <dataValidation type="list" allowBlank="1" showInputMessage="1" showErrorMessage="1" sqref="WVM983084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formula1>$Q$8:$Q$11</formula1>
    </dataValidation>
    <dataValidation type="list" allowBlank="1" showInputMessage="1" showErrorMessage="1" sqref="WVS983054:WVS983055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50:K65551 JG65550:JG65551 TC65550:TC65551 ACY65550:ACY65551 AMU65550:AMU65551 AWQ65550:AWQ65551 BGM65550:BGM65551 BQI65550:BQI65551 CAE65550:CAE65551 CKA65550:CKA65551 CTW65550:CTW65551 DDS65550:DDS65551 DNO65550:DNO65551 DXK65550:DXK65551 EHG65550:EHG65551 ERC65550:ERC65551 FAY65550:FAY65551 FKU65550:FKU65551 FUQ65550:FUQ65551 GEM65550:GEM65551 GOI65550:GOI65551 GYE65550:GYE65551 HIA65550:HIA65551 HRW65550:HRW65551 IBS65550:IBS65551 ILO65550:ILO65551 IVK65550:IVK65551 JFG65550:JFG65551 JPC65550:JPC65551 JYY65550:JYY65551 KIU65550:KIU65551 KSQ65550:KSQ65551 LCM65550:LCM65551 LMI65550:LMI65551 LWE65550:LWE65551 MGA65550:MGA65551 MPW65550:MPW65551 MZS65550:MZS65551 NJO65550:NJO65551 NTK65550:NTK65551 ODG65550:ODG65551 ONC65550:ONC65551 OWY65550:OWY65551 PGU65550:PGU65551 PQQ65550:PQQ65551 QAM65550:QAM65551 QKI65550:QKI65551 QUE65550:QUE65551 REA65550:REA65551 RNW65550:RNW65551 RXS65550:RXS65551 SHO65550:SHO65551 SRK65550:SRK65551 TBG65550:TBG65551 TLC65550:TLC65551 TUY65550:TUY65551 UEU65550:UEU65551 UOQ65550:UOQ65551 UYM65550:UYM65551 VII65550:VII65551 VSE65550:VSE65551 WCA65550:WCA65551 WLW65550:WLW65551 WVS65550:WVS65551 K131086:K131087 JG131086:JG131087 TC131086:TC131087 ACY131086:ACY131087 AMU131086:AMU131087 AWQ131086:AWQ131087 BGM131086:BGM131087 BQI131086:BQI131087 CAE131086:CAE131087 CKA131086:CKA131087 CTW131086:CTW131087 DDS131086:DDS131087 DNO131086:DNO131087 DXK131086:DXK131087 EHG131086:EHG131087 ERC131086:ERC131087 FAY131086:FAY131087 FKU131086:FKU131087 FUQ131086:FUQ131087 GEM131086:GEM131087 GOI131086:GOI131087 GYE131086:GYE131087 HIA131086:HIA131087 HRW131086:HRW131087 IBS131086:IBS131087 ILO131086:ILO131087 IVK131086:IVK131087 JFG131086:JFG131087 JPC131086:JPC131087 JYY131086:JYY131087 KIU131086:KIU131087 KSQ131086:KSQ131087 LCM131086:LCM131087 LMI131086:LMI131087 LWE131086:LWE131087 MGA131086:MGA131087 MPW131086:MPW131087 MZS131086:MZS131087 NJO131086:NJO131087 NTK131086:NTK131087 ODG131086:ODG131087 ONC131086:ONC131087 OWY131086:OWY131087 PGU131086:PGU131087 PQQ131086:PQQ131087 QAM131086:QAM131087 QKI131086:QKI131087 QUE131086:QUE131087 REA131086:REA131087 RNW131086:RNW131087 RXS131086:RXS131087 SHO131086:SHO131087 SRK131086:SRK131087 TBG131086:TBG131087 TLC131086:TLC131087 TUY131086:TUY131087 UEU131086:UEU131087 UOQ131086:UOQ131087 UYM131086:UYM131087 VII131086:VII131087 VSE131086:VSE131087 WCA131086:WCA131087 WLW131086:WLW131087 WVS131086:WVS131087 K196622:K196623 JG196622:JG196623 TC196622:TC196623 ACY196622:ACY196623 AMU196622:AMU196623 AWQ196622:AWQ196623 BGM196622:BGM196623 BQI196622:BQI196623 CAE196622:CAE196623 CKA196622:CKA196623 CTW196622:CTW196623 DDS196622:DDS196623 DNO196622:DNO196623 DXK196622:DXK196623 EHG196622:EHG196623 ERC196622:ERC196623 FAY196622:FAY196623 FKU196622:FKU196623 FUQ196622:FUQ196623 GEM196622:GEM196623 GOI196622:GOI196623 GYE196622:GYE196623 HIA196622:HIA196623 HRW196622:HRW196623 IBS196622:IBS196623 ILO196622:ILO196623 IVK196622:IVK196623 JFG196622:JFG196623 JPC196622:JPC196623 JYY196622:JYY196623 KIU196622:KIU196623 KSQ196622:KSQ196623 LCM196622:LCM196623 LMI196622:LMI196623 LWE196622:LWE196623 MGA196622:MGA196623 MPW196622:MPW196623 MZS196622:MZS196623 NJO196622:NJO196623 NTK196622:NTK196623 ODG196622:ODG196623 ONC196622:ONC196623 OWY196622:OWY196623 PGU196622:PGU196623 PQQ196622:PQQ196623 QAM196622:QAM196623 QKI196622:QKI196623 QUE196622:QUE196623 REA196622:REA196623 RNW196622:RNW196623 RXS196622:RXS196623 SHO196622:SHO196623 SRK196622:SRK196623 TBG196622:TBG196623 TLC196622:TLC196623 TUY196622:TUY196623 UEU196622:UEU196623 UOQ196622:UOQ196623 UYM196622:UYM196623 VII196622:VII196623 VSE196622:VSE196623 WCA196622:WCA196623 WLW196622:WLW196623 WVS196622:WVS196623 K262158:K262159 JG262158:JG262159 TC262158:TC262159 ACY262158:ACY262159 AMU262158:AMU262159 AWQ262158:AWQ262159 BGM262158:BGM262159 BQI262158:BQI262159 CAE262158:CAE262159 CKA262158:CKA262159 CTW262158:CTW262159 DDS262158:DDS262159 DNO262158:DNO262159 DXK262158:DXK262159 EHG262158:EHG262159 ERC262158:ERC262159 FAY262158:FAY262159 FKU262158:FKU262159 FUQ262158:FUQ262159 GEM262158:GEM262159 GOI262158:GOI262159 GYE262158:GYE262159 HIA262158:HIA262159 HRW262158:HRW262159 IBS262158:IBS262159 ILO262158:ILO262159 IVK262158:IVK262159 JFG262158:JFG262159 JPC262158:JPC262159 JYY262158:JYY262159 KIU262158:KIU262159 KSQ262158:KSQ262159 LCM262158:LCM262159 LMI262158:LMI262159 LWE262158:LWE262159 MGA262158:MGA262159 MPW262158:MPW262159 MZS262158:MZS262159 NJO262158:NJO262159 NTK262158:NTK262159 ODG262158:ODG262159 ONC262158:ONC262159 OWY262158:OWY262159 PGU262158:PGU262159 PQQ262158:PQQ262159 QAM262158:QAM262159 QKI262158:QKI262159 QUE262158:QUE262159 REA262158:REA262159 RNW262158:RNW262159 RXS262158:RXS262159 SHO262158:SHO262159 SRK262158:SRK262159 TBG262158:TBG262159 TLC262158:TLC262159 TUY262158:TUY262159 UEU262158:UEU262159 UOQ262158:UOQ262159 UYM262158:UYM262159 VII262158:VII262159 VSE262158:VSE262159 WCA262158:WCA262159 WLW262158:WLW262159 WVS262158:WVS262159 K327694:K327695 JG327694:JG327695 TC327694:TC327695 ACY327694:ACY327695 AMU327694:AMU327695 AWQ327694:AWQ327695 BGM327694:BGM327695 BQI327694:BQI327695 CAE327694:CAE327695 CKA327694:CKA327695 CTW327694:CTW327695 DDS327694:DDS327695 DNO327694:DNO327695 DXK327694:DXK327695 EHG327694:EHG327695 ERC327694:ERC327695 FAY327694:FAY327695 FKU327694:FKU327695 FUQ327694:FUQ327695 GEM327694:GEM327695 GOI327694:GOI327695 GYE327694:GYE327695 HIA327694:HIA327695 HRW327694:HRW327695 IBS327694:IBS327695 ILO327694:ILO327695 IVK327694:IVK327695 JFG327694:JFG327695 JPC327694:JPC327695 JYY327694:JYY327695 KIU327694:KIU327695 KSQ327694:KSQ327695 LCM327694:LCM327695 LMI327694:LMI327695 LWE327694:LWE327695 MGA327694:MGA327695 MPW327694:MPW327695 MZS327694:MZS327695 NJO327694:NJO327695 NTK327694:NTK327695 ODG327694:ODG327695 ONC327694:ONC327695 OWY327694:OWY327695 PGU327694:PGU327695 PQQ327694:PQQ327695 QAM327694:QAM327695 QKI327694:QKI327695 QUE327694:QUE327695 REA327694:REA327695 RNW327694:RNW327695 RXS327694:RXS327695 SHO327694:SHO327695 SRK327694:SRK327695 TBG327694:TBG327695 TLC327694:TLC327695 TUY327694:TUY327695 UEU327694:UEU327695 UOQ327694:UOQ327695 UYM327694:UYM327695 VII327694:VII327695 VSE327694:VSE327695 WCA327694:WCA327695 WLW327694:WLW327695 WVS327694:WVS327695 K393230:K393231 JG393230:JG393231 TC393230:TC393231 ACY393230:ACY393231 AMU393230:AMU393231 AWQ393230:AWQ393231 BGM393230:BGM393231 BQI393230:BQI393231 CAE393230:CAE393231 CKA393230:CKA393231 CTW393230:CTW393231 DDS393230:DDS393231 DNO393230:DNO393231 DXK393230:DXK393231 EHG393230:EHG393231 ERC393230:ERC393231 FAY393230:FAY393231 FKU393230:FKU393231 FUQ393230:FUQ393231 GEM393230:GEM393231 GOI393230:GOI393231 GYE393230:GYE393231 HIA393230:HIA393231 HRW393230:HRW393231 IBS393230:IBS393231 ILO393230:ILO393231 IVK393230:IVK393231 JFG393230:JFG393231 JPC393230:JPC393231 JYY393230:JYY393231 KIU393230:KIU393231 KSQ393230:KSQ393231 LCM393230:LCM393231 LMI393230:LMI393231 LWE393230:LWE393231 MGA393230:MGA393231 MPW393230:MPW393231 MZS393230:MZS393231 NJO393230:NJO393231 NTK393230:NTK393231 ODG393230:ODG393231 ONC393230:ONC393231 OWY393230:OWY393231 PGU393230:PGU393231 PQQ393230:PQQ393231 QAM393230:QAM393231 QKI393230:QKI393231 QUE393230:QUE393231 REA393230:REA393231 RNW393230:RNW393231 RXS393230:RXS393231 SHO393230:SHO393231 SRK393230:SRK393231 TBG393230:TBG393231 TLC393230:TLC393231 TUY393230:TUY393231 UEU393230:UEU393231 UOQ393230:UOQ393231 UYM393230:UYM393231 VII393230:VII393231 VSE393230:VSE393231 WCA393230:WCA393231 WLW393230:WLW393231 WVS393230:WVS393231 K458766:K458767 JG458766:JG458767 TC458766:TC458767 ACY458766:ACY458767 AMU458766:AMU458767 AWQ458766:AWQ458767 BGM458766:BGM458767 BQI458766:BQI458767 CAE458766:CAE458767 CKA458766:CKA458767 CTW458766:CTW458767 DDS458766:DDS458767 DNO458766:DNO458767 DXK458766:DXK458767 EHG458766:EHG458767 ERC458766:ERC458767 FAY458766:FAY458767 FKU458766:FKU458767 FUQ458766:FUQ458767 GEM458766:GEM458767 GOI458766:GOI458767 GYE458766:GYE458767 HIA458766:HIA458767 HRW458766:HRW458767 IBS458766:IBS458767 ILO458766:ILO458767 IVK458766:IVK458767 JFG458766:JFG458767 JPC458766:JPC458767 JYY458766:JYY458767 KIU458766:KIU458767 KSQ458766:KSQ458767 LCM458766:LCM458767 LMI458766:LMI458767 LWE458766:LWE458767 MGA458766:MGA458767 MPW458766:MPW458767 MZS458766:MZS458767 NJO458766:NJO458767 NTK458766:NTK458767 ODG458766:ODG458767 ONC458766:ONC458767 OWY458766:OWY458767 PGU458766:PGU458767 PQQ458766:PQQ458767 QAM458766:QAM458767 QKI458766:QKI458767 QUE458766:QUE458767 REA458766:REA458767 RNW458766:RNW458767 RXS458766:RXS458767 SHO458766:SHO458767 SRK458766:SRK458767 TBG458766:TBG458767 TLC458766:TLC458767 TUY458766:TUY458767 UEU458766:UEU458767 UOQ458766:UOQ458767 UYM458766:UYM458767 VII458766:VII458767 VSE458766:VSE458767 WCA458766:WCA458767 WLW458766:WLW458767 WVS458766:WVS458767 K524302:K524303 JG524302:JG524303 TC524302:TC524303 ACY524302:ACY524303 AMU524302:AMU524303 AWQ524302:AWQ524303 BGM524302:BGM524303 BQI524302:BQI524303 CAE524302:CAE524303 CKA524302:CKA524303 CTW524302:CTW524303 DDS524302:DDS524303 DNO524302:DNO524303 DXK524302:DXK524303 EHG524302:EHG524303 ERC524302:ERC524303 FAY524302:FAY524303 FKU524302:FKU524303 FUQ524302:FUQ524303 GEM524302:GEM524303 GOI524302:GOI524303 GYE524302:GYE524303 HIA524302:HIA524303 HRW524302:HRW524303 IBS524302:IBS524303 ILO524302:ILO524303 IVK524302:IVK524303 JFG524302:JFG524303 JPC524302:JPC524303 JYY524302:JYY524303 KIU524302:KIU524303 KSQ524302:KSQ524303 LCM524302:LCM524303 LMI524302:LMI524303 LWE524302:LWE524303 MGA524302:MGA524303 MPW524302:MPW524303 MZS524302:MZS524303 NJO524302:NJO524303 NTK524302:NTK524303 ODG524302:ODG524303 ONC524302:ONC524303 OWY524302:OWY524303 PGU524302:PGU524303 PQQ524302:PQQ524303 QAM524302:QAM524303 QKI524302:QKI524303 QUE524302:QUE524303 REA524302:REA524303 RNW524302:RNW524303 RXS524302:RXS524303 SHO524302:SHO524303 SRK524302:SRK524303 TBG524302:TBG524303 TLC524302:TLC524303 TUY524302:TUY524303 UEU524302:UEU524303 UOQ524302:UOQ524303 UYM524302:UYM524303 VII524302:VII524303 VSE524302:VSE524303 WCA524302:WCA524303 WLW524302:WLW524303 WVS524302:WVS524303 K589838:K589839 JG589838:JG589839 TC589838:TC589839 ACY589838:ACY589839 AMU589838:AMU589839 AWQ589838:AWQ589839 BGM589838:BGM589839 BQI589838:BQI589839 CAE589838:CAE589839 CKA589838:CKA589839 CTW589838:CTW589839 DDS589838:DDS589839 DNO589838:DNO589839 DXK589838:DXK589839 EHG589838:EHG589839 ERC589838:ERC589839 FAY589838:FAY589839 FKU589838:FKU589839 FUQ589838:FUQ589839 GEM589838:GEM589839 GOI589838:GOI589839 GYE589838:GYE589839 HIA589838:HIA589839 HRW589838:HRW589839 IBS589838:IBS589839 ILO589838:ILO589839 IVK589838:IVK589839 JFG589838:JFG589839 JPC589838:JPC589839 JYY589838:JYY589839 KIU589838:KIU589839 KSQ589838:KSQ589839 LCM589838:LCM589839 LMI589838:LMI589839 LWE589838:LWE589839 MGA589838:MGA589839 MPW589838:MPW589839 MZS589838:MZS589839 NJO589838:NJO589839 NTK589838:NTK589839 ODG589838:ODG589839 ONC589838:ONC589839 OWY589838:OWY589839 PGU589838:PGU589839 PQQ589838:PQQ589839 QAM589838:QAM589839 QKI589838:QKI589839 QUE589838:QUE589839 REA589838:REA589839 RNW589838:RNW589839 RXS589838:RXS589839 SHO589838:SHO589839 SRK589838:SRK589839 TBG589838:TBG589839 TLC589838:TLC589839 TUY589838:TUY589839 UEU589838:UEU589839 UOQ589838:UOQ589839 UYM589838:UYM589839 VII589838:VII589839 VSE589838:VSE589839 WCA589838:WCA589839 WLW589838:WLW589839 WVS589838:WVS589839 K655374:K655375 JG655374:JG655375 TC655374:TC655375 ACY655374:ACY655375 AMU655374:AMU655375 AWQ655374:AWQ655375 BGM655374:BGM655375 BQI655374:BQI655375 CAE655374:CAE655375 CKA655374:CKA655375 CTW655374:CTW655375 DDS655374:DDS655375 DNO655374:DNO655375 DXK655374:DXK655375 EHG655374:EHG655375 ERC655374:ERC655375 FAY655374:FAY655375 FKU655374:FKU655375 FUQ655374:FUQ655375 GEM655374:GEM655375 GOI655374:GOI655375 GYE655374:GYE655375 HIA655374:HIA655375 HRW655374:HRW655375 IBS655374:IBS655375 ILO655374:ILO655375 IVK655374:IVK655375 JFG655374:JFG655375 JPC655374:JPC655375 JYY655374:JYY655375 KIU655374:KIU655375 KSQ655374:KSQ655375 LCM655374:LCM655375 LMI655374:LMI655375 LWE655374:LWE655375 MGA655374:MGA655375 MPW655374:MPW655375 MZS655374:MZS655375 NJO655374:NJO655375 NTK655374:NTK655375 ODG655374:ODG655375 ONC655374:ONC655375 OWY655374:OWY655375 PGU655374:PGU655375 PQQ655374:PQQ655375 QAM655374:QAM655375 QKI655374:QKI655375 QUE655374:QUE655375 REA655374:REA655375 RNW655374:RNW655375 RXS655374:RXS655375 SHO655374:SHO655375 SRK655374:SRK655375 TBG655374:TBG655375 TLC655374:TLC655375 TUY655374:TUY655375 UEU655374:UEU655375 UOQ655374:UOQ655375 UYM655374:UYM655375 VII655374:VII655375 VSE655374:VSE655375 WCA655374:WCA655375 WLW655374:WLW655375 WVS655374:WVS655375 K720910:K720911 JG720910:JG720911 TC720910:TC720911 ACY720910:ACY720911 AMU720910:AMU720911 AWQ720910:AWQ720911 BGM720910:BGM720911 BQI720910:BQI720911 CAE720910:CAE720911 CKA720910:CKA720911 CTW720910:CTW720911 DDS720910:DDS720911 DNO720910:DNO720911 DXK720910:DXK720911 EHG720910:EHG720911 ERC720910:ERC720911 FAY720910:FAY720911 FKU720910:FKU720911 FUQ720910:FUQ720911 GEM720910:GEM720911 GOI720910:GOI720911 GYE720910:GYE720911 HIA720910:HIA720911 HRW720910:HRW720911 IBS720910:IBS720911 ILO720910:ILO720911 IVK720910:IVK720911 JFG720910:JFG720911 JPC720910:JPC720911 JYY720910:JYY720911 KIU720910:KIU720911 KSQ720910:KSQ720911 LCM720910:LCM720911 LMI720910:LMI720911 LWE720910:LWE720911 MGA720910:MGA720911 MPW720910:MPW720911 MZS720910:MZS720911 NJO720910:NJO720911 NTK720910:NTK720911 ODG720910:ODG720911 ONC720910:ONC720911 OWY720910:OWY720911 PGU720910:PGU720911 PQQ720910:PQQ720911 QAM720910:QAM720911 QKI720910:QKI720911 QUE720910:QUE720911 REA720910:REA720911 RNW720910:RNW720911 RXS720910:RXS720911 SHO720910:SHO720911 SRK720910:SRK720911 TBG720910:TBG720911 TLC720910:TLC720911 TUY720910:TUY720911 UEU720910:UEU720911 UOQ720910:UOQ720911 UYM720910:UYM720911 VII720910:VII720911 VSE720910:VSE720911 WCA720910:WCA720911 WLW720910:WLW720911 WVS720910:WVS720911 K786446:K786447 JG786446:JG786447 TC786446:TC786447 ACY786446:ACY786447 AMU786446:AMU786447 AWQ786446:AWQ786447 BGM786446:BGM786447 BQI786446:BQI786447 CAE786446:CAE786447 CKA786446:CKA786447 CTW786446:CTW786447 DDS786446:DDS786447 DNO786446:DNO786447 DXK786446:DXK786447 EHG786446:EHG786447 ERC786446:ERC786447 FAY786446:FAY786447 FKU786446:FKU786447 FUQ786446:FUQ786447 GEM786446:GEM786447 GOI786446:GOI786447 GYE786446:GYE786447 HIA786446:HIA786447 HRW786446:HRW786447 IBS786446:IBS786447 ILO786446:ILO786447 IVK786446:IVK786447 JFG786446:JFG786447 JPC786446:JPC786447 JYY786446:JYY786447 KIU786446:KIU786447 KSQ786446:KSQ786447 LCM786446:LCM786447 LMI786446:LMI786447 LWE786446:LWE786447 MGA786446:MGA786447 MPW786446:MPW786447 MZS786446:MZS786447 NJO786446:NJO786447 NTK786446:NTK786447 ODG786446:ODG786447 ONC786446:ONC786447 OWY786446:OWY786447 PGU786446:PGU786447 PQQ786446:PQQ786447 QAM786446:QAM786447 QKI786446:QKI786447 QUE786446:QUE786447 REA786446:REA786447 RNW786446:RNW786447 RXS786446:RXS786447 SHO786446:SHO786447 SRK786446:SRK786447 TBG786446:TBG786447 TLC786446:TLC786447 TUY786446:TUY786447 UEU786446:UEU786447 UOQ786446:UOQ786447 UYM786446:UYM786447 VII786446:VII786447 VSE786446:VSE786447 WCA786446:WCA786447 WLW786446:WLW786447 WVS786446:WVS786447 K851982:K851983 JG851982:JG851983 TC851982:TC851983 ACY851982:ACY851983 AMU851982:AMU851983 AWQ851982:AWQ851983 BGM851982:BGM851983 BQI851982:BQI851983 CAE851982:CAE851983 CKA851982:CKA851983 CTW851982:CTW851983 DDS851982:DDS851983 DNO851982:DNO851983 DXK851982:DXK851983 EHG851982:EHG851983 ERC851982:ERC851983 FAY851982:FAY851983 FKU851982:FKU851983 FUQ851982:FUQ851983 GEM851982:GEM851983 GOI851982:GOI851983 GYE851982:GYE851983 HIA851982:HIA851983 HRW851982:HRW851983 IBS851982:IBS851983 ILO851982:ILO851983 IVK851982:IVK851983 JFG851982:JFG851983 JPC851982:JPC851983 JYY851982:JYY851983 KIU851982:KIU851983 KSQ851982:KSQ851983 LCM851982:LCM851983 LMI851982:LMI851983 LWE851982:LWE851983 MGA851982:MGA851983 MPW851982:MPW851983 MZS851982:MZS851983 NJO851982:NJO851983 NTK851982:NTK851983 ODG851982:ODG851983 ONC851982:ONC851983 OWY851982:OWY851983 PGU851982:PGU851983 PQQ851982:PQQ851983 QAM851982:QAM851983 QKI851982:QKI851983 QUE851982:QUE851983 REA851982:REA851983 RNW851982:RNW851983 RXS851982:RXS851983 SHO851982:SHO851983 SRK851982:SRK851983 TBG851982:TBG851983 TLC851982:TLC851983 TUY851982:TUY851983 UEU851982:UEU851983 UOQ851982:UOQ851983 UYM851982:UYM851983 VII851982:VII851983 VSE851982:VSE851983 WCA851982:WCA851983 WLW851982:WLW851983 WVS851982:WVS851983 K917518:K917519 JG917518:JG917519 TC917518:TC917519 ACY917518:ACY917519 AMU917518:AMU917519 AWQ917518:AWQ917519 BGM917518:BGM917519 BQI917518:BQI917519 CAE917518:CAE917519 CKA917518:CKA917519 CTW917518:CTW917519 DDS917518:DDS917519 DNO917518:DNO917519 DXK917518:DXK917519 EHG917518:EHG917519 ERC917518:ERC917519 FAY917518:FAY917519 FKU917518:FKU917519 FUQ917518:FUQ917519 GEM917518:GEM917519 GOI917518:GOI917519 GYE917518:GYE917519 HIA917518:HIA917519 HRW917518:HRW917519 IBS917518:IBS917519 ILO917518:ILO917519 IVK917518:IVK917519 JFG917518:JFG917519 JPC917518:JPC917519 JYY917518:JYY917519 KIU917518:KIU917519 KSQ917518:KSQ917519 LCM917518:LCM917519 LMI917518:LMI917519 LWE917518:LWE917519 MGA917518:MGA917519 MPW917518:MPW917519 MZS917518:MZS917519 NJO917518:NJO917519 NTK917518:NTK917519 ODG917518:ODG917519 ONC917518:ONC917519 OWY917518:OWY917519 PGU917518:PGU917519 PQQ917518:PQQ917519 QAM917518:QAM917519 QKI917518:QKI917519 QUE917518:QUE917519 REA917518:REA917519 RNW917518:RNW917519 RXS917518:RXS917519 SHO917518:SHO917519 SRK917518:SRK917519 TBG917518:TBG917519 TLC917518:TLC917519 TUY917518:TUY917519 UEU917518:UEU917519 UOQ917518:UOQ917519 UYM917518:UYM917519 VII917518:VII917519 VSE917518:VSE917519 WCA917518:WCA917519 WLW917518:WLW917519 WVS917518:WVS917519 K983054:K983055 JG983054:JG983055 TC983054:TC983055 ACY983054:ACY983055 AMU983054:AMU983055 AWQ983054:AWQ983055 BGM983054:BGM983055 BQI983054:BQI983055 CAE983054:CAE983055 CKA983054:CKA983055 CTW983054:CTW983055 DDS983054:DDS983055 DNO983054:DNO983055 DXK983054:DXK983055 EHG983054:EHG983055 ERC983054:ERC983055 FAY983054:FAY983055 FKU983054:FKU983055 FUQ983054:FUQ983055 GEM983054:GEM983055 GOI983054:GOI983055 GYE983054:GYE983055 HIA983054:HIA983055 HRW983054:HRW983055 IBS983054:IBS983055 ILO983054:ILO983055 IVK983054:IVK983055 JFG983054:JFG983055 JPC983054:JPC983055 JYY983054:JYY983055 KIU983054:KIU983055 KSQ983054:KSQ983055 LCM983054:LCM983055 LMI983054:LMI983055 LWE983054:LWE983055 MGA983054:MGA983055 MPW983054:MPW983055 MZS983054:MZS983055 NJO983054:NJO983055 NTK983054:NTK983055 ODG983054:ODG983055 ONC983054:ONC983055 OWY983054:OWY983055 PGU983054:PGU983055 PQQ983054:PQQ983055 QAM983054:QAM983055 QKI983054:QKI983055 QUE983054:QUE983055 REA983054:REA983055 RNW983054:RNW983055 RXS983054:RXS983055 SHO983054:SHO983055 SRK983054:SRK983055 TBG983054:TBG983055 TLC983054:TLC983055 TUY983054:TUY983055 UEU983054:UEU983055 UOQ983054:UOQ983055 UYM983054:UYM983055 VII983054:VII983055 VSE983054:VSE983055 WCA983054:WCA983055 WLW983054:WLW983055">
      <formula1>$Q$2:$Q$6</formula1>
    </dataValidation>
    <dataValidation type="decimal" allowBlank="1" showInputMessage="1" showErrorMessage="1" sqref="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83 JJ65583 TF65583 ADB65583 AMX65583 AWT65583 BGP65583 BQL65583 CAH65583 CKD65583 CTZ65583 DDV65583 DNR65583 DXN65583 EHJ65583 ERF65583 FBB65583 FKX65583 FUT65583 GEP65583 GOL65583 GYH65583 HID65583 HRZ65583 IBV65583 ILR65583 IVN65583 JFJ65583 JPF65583 JZB65583 KIX65583 KST65583 LCP65583 LML65583 LWH65583 MGD65583 MPZ65583 MZV65583 NJR65583 NTN65583 ODJ65583 ONF65583 OXB65583 PGX65583 PQT65583 QAP65583 QKL65583 QUH65583 RED65583 RNZ65583 RXV65583 SHR65583 SRN65583 TBJ65583 TLF65583 TVB65583 UEX65583 UOT65583 UYP65583 VIL65583 VSH65583 WCD65583 WLZ65583 WVV65583 N131119 JJ131119 TF131119 ADB131119 AMX131119 AWT131119 BGP131119 BQL131119 CAH131119 CKD131119 CTZ131119 DDV131119 DNR131119 DXN131119 EHJ131119 ERF131119 FBB131119 FKX131119 FUT131119 GEP131119 GOL131119 GYH131119 HID131119 HRZ131119 IBV131119 ILR131119 IVN131119 JFJ131119 JPF131119 JZB131119 KIX131119 KST131119 LCP131119 LML131119 LWH131119 MGD131119 MPZ131119 MZV131119 NJR131119 NTN131119 ODJ131119 ONF131119 OXB131119 PGX131119 PQT131119 QAP131119 QKL131119 QUH131119 RED131119 RNZ131119 RXV131119 SHR131119 SRN131119 TBJ131119 TLF131119 TVB131119 UEX131119 UOT131119 UYP131119 VIL131119 VSH131119 WCD131119 WLZ131119 WVV131119 N196655 JJ196655 TF196655 ADB196655 AMX196655 AWT196655 BGP196655 BQL196655 CAH196655 CKD196655 CTZ196655 DDV196655 DNR196655 DXN196655 EHJ196655 ERF196655 FBB196655 FKX196655 FUT196655 GEP196655 GOL196655 GYH196655 HID196655 HRZ196655 IBV196655 ILR196655 IVN196655 JFJ196655 JPF196655 JZB196655 KIX196655 KST196655 LCP196655 LML196655 LWH196655 MGD196655 MPZ196655 MZV196655 NJR196655 NTN196655 ODJ196655 ONF196655 OXB196655 PGX196655 PQT196655 QAP196655 QKL196655 QUH196655 RED196655 RNZ196655 RXV196655 SHR196655 SRN196655 TBJ196655 TLF196655 TVB196655 UEX196655 UOT196655 UYP196655 VIL196655 VSH196655 WCD196655 WLZ196655 WVV196655 N262191 JJ262191 TF262191 ADB262191 AMX262191 AWT262191 BGP262191 BQL262191 CAH262191 CKD262191 CTZ262191 DDV262191 DNR262191 DXN262191 EHJ262191 ERF262191 FBB262191 FKX262191 FUT262191 GEP262191 GOL262191 GYH262191 HID262191 HRZ262191 IBV262191 ILR262191 IVN262191 JFJ262191 JPF262191 JZB262191 KIX262191 KST262191 LCP262191 LML262191 LWH262191 MGD262191 MPZ262191 MZV262191 NJR262191 NTN262191 ODJ262191 ONF262191 OXB262191 PGX262191 PQT262191 QAP262191 QKL262191 QUH262191 RED262191 RNZ262191 RXV262191 SHR262191 SRN262191 TBJ262191 TLF262191 TVB262191 UEX262191 UOT262191 UYP262191 VIL262191 VSH262191 WCD262191 WLZ262191 WVV262191 N327727 JJ327727 TF327727 ADB327727 AMX327727 AWT327727 BGP327727 BQL327727 CAH327727 CKD327727 CTZ327727 DDV327727 DNR327727 DXN327727 EHJ327727 ERF327727 FBB327727 FKX327727 FUT327727 GEP327727 GOL327727 GYH327727 HID327727 HRZ327727 IBV327727 ILR327727 IVN327727 JFJ327727 JPF327727 JZB327727 KIX327727 KST327727 LCP327727 LML327727 LWH327727 MGD327727 MPZ327727 MZV327727 NJR327727 NTN327727 ODJ327727 ONF327727 OXB327727 PGX327727 PQT327727 QAP327727 QKL327727 QUH327727 RED327727 RNZ327727 RXV327727 SHR327727 SRN327727 TBJ327727 TLF327727 TVB327727 UEX327727 UOT327727 UYP327727 VIL327727 VSH327727 WCD327727 WLZ327727 WVV327727 N393263 JJ393263 TF393263 ADB393263 AMX393263 AWT393263 BGP393263 BQL393263 CAH393263 CKD393263 CTZ393263 DDV393263 DNR393263 DXN393263 EHJ393263 ERF393263 FBB393263 FKX393263 FUT393263 GEP393263 GOL393263 GYH393263 HID393263 HRZ393263 IBV393263 ILR393263 IVN393263 JFJ393263 JPF393263 JZB393263 KIX393263 KST393263 LCP393263 LML393263 LWH393263 MGD393263 MPZ393263 MZV393263 NJR393263 NTN393263 ODJ393263 ONF393263 OXB393263 PGX393263 PQT393263 QAP393263 QKL393263 QUH393263 RED393263 RNZ393263 RXV393263 SHR393263 SRN393263 TBJ393263 TLF393263 TVB393263 UEX393263 UOT393263 UYP393263 VIL393263 VSH393263 WCD393263 WLZ393263 WVV393263 N458799 JJ458799 TF458799 ADB458799 AMX458799 AWT458799 BGP458799 BQL458799 CAH458799 CKD458799 CTZ458799 DDV458799 DNR458799 DXN458799 EHJ458799 ERF458799 FBB458799 FKX458799 FUT458799 GEP458799 GOL458799 GYH458799 HID458799 HRZ458799 IBV458799 ILR458799 IVN458799 JFJ458799 JPF458799 JZB458799 KIX458799 KST458799 LCP458799 LML458799 LWH458799 MGD458799 MPZ458799 MZV458799 NJR458799 NTN458799 ODJ458799 ONF458799 OXB458799 PGX458799 PQT458799 QAP458799 QKL458799 QUH458799 RED458799 RNZ458799 RXV458799 SHR458799 SRN458799 TBJ458799 TLF458799 TVB458799 UEX458799 UOT458799 UYP458799 VIL458799 VSH458799 WCD458799 WLZ458799 WVV458799 N524335 JJ524335 TF524335 ADB524335 AMX524335 AWT524335 BGP524335 BQL524335 CAH524335 CKD524335 CTZ524335 DDV524335 DNR524335 DXN524335 EHJ524335 ERF524335 FBB524335 FKX524335 FUT524335 GEP524335 GOL524335 GYH524335 HID524335 HRZ524335 IBV524335 ILR524335 IVN524335 JFJ524335 JPF524335 JZB524335 KIX524335 KST524335 LCP524335 LML524335 LWH524335 MGD524335 MPZ524335 MZV524335 NJR524335 NTN524335 ODJ524335 ONF524335 OXB524335 PGX524335 PQT524335 QAP524335 QKL524335 QUH524335 RED524335 RNZ524335 RXV524335 SHR524335 SRN524335 TBJ524335 TLF524335 TVB524335 UEX524335 UOT524335 UYP524335 VIL524335 VSH524335 WCD524335 WLZ524335 WVV524335 N589871 JJ589871 TF589871 ADB589871 AMX589871 AWT589871 BGP589871 BQL589871 CAH589871 CKD589871 CTZ589871 DDV589871 DNR589871 DXN589871 EHJ589871 ERF589871 FBB589871 FKX589871 FUT589871 GEP589871 GOL589871 GYH589871 HID589871 HRZ589871 IBV589871 ILR589871 IVN589871 JFJ589871 JPF589871 JZB589871 KIX589871 KST589871 LCP589871 LML589871 LWH589871 MGD589871 MPZ589871 MZV589871 NJR589871 NTN589871 ODJ589871 ONF589871 OXB589871 PGX589871 PQT589871 QAP589871 QKL589871 QUH589871 RED589871 RNZ589871 RXV589871 SHR589871 SRN589871 TBJ589871 TLF589871 TVB589871 UEX589871 UOT589871 UYP589871 VIL589871 VSH589871 WCD589871 WLZ589871 WVV589871 N655407 JJ655407 TF655407 ADB655407 AMX655407 AWT655407 BGP655407 BQL655407 CAH655407 CKD655407 CTZ655407 DDV655407 DNR655407 DXN655407 EHJ655407 ERF655407 FBB655407 FKX655407 FUT655407 GEP655407 GOL655407 GYH655407 HID655407 HRZ655407 IBV655407 ILR655407 IVN655407 JFJ655407 JPF655407 JZB655407 KIX655407 KST655407 LCP655407 LML655407 LWH655407 MGD655407 MPZ655407 MZV655407 NJR655407 NTN655407 ODJ655407 ONF655407 OXB655407 PGX655407 PQT655407 QAP655407 QKL655407 QUH655407 RED655407 RNZ655407 RXV655407 SHR655407 SRN655407 TBJ655407 TLF655407 TVB655407 UEX655407 UOT655407 UYP655407 VIL655407 VSH655407 WCD655407 WLZ655407 WVV655407 N720943 JJ720943 TF720943 ADB720943 AMX720943 AWT720943 BGP720943 BQL720943 CAH720943 CKD720943 CTZ720943 DDV720943 DNR720943 DXN720943 EHJ720943 ERF720943 FBB720943 FKX720943 FUT720943 GEP720943 GOL720943 GYH720943 HID720943 HRZ720943 IBV720943 ILR720943 IVN720943 JFJ720943 JPF720943 JZB720943 KIX720943 KST720943 LCP720943 LML720943 LWH720943 MGD720943 MPZ720943 MZV720943 NJR720943 NTN720943 ODJ720943 ONF720943 OXB720943 PGX720943 PQT720943 QAP720943 QKL720943 QUH720943 RED720943 RNZ720943 RXV720943 SHR720943 SRN720943 TBJ720943 TLF720943 TVB720943 UEX720943 UOT720943 UYP720943 VIL720943 VSH720943 WCD720943 WLZ720943 WVV720943 N786479 JJ786479 TF786479 ADB786479 AMX786479 AWT786479 BGP786479 BQL786479 CAH786479 CKD786479 CTZ786479 DDV786479 DNR786479 DXN786479 EHJ786479 ERF786479 FBB786479 FKX786479 FUT786479 GEP786479 GOL786479 GYH786479 HID786479 HRZ786479 IBV786479 ILR786479 IVN786479 JFJ786479 JPF786479 JZB786479 KIX786479 KST786479 LCP786479 LML786479 LWH786479 MGD786479 MPZ786479 MZV786479 NJR786479 NTN786479 ODJ786479 ONF786479 OXB786479 PGX786479 PQT786479 QAP786479 QKL786479 QUH786479 RED786479 RNZ786479 RXV786479 SHR786479 SRN786479 TBJ786479 TLF786479 TVB786479 UEX786479 UOT786479 UYP786479 VIL786479 VSH786479 WCD786479 WLZ786479 WVV786479 N852015 JJ852015 TF852015 ADB852015 AMX852015 AWT852015 BGP852015 BQL852015 CAH852015 CKD852015 CTZ852015 DDV852015 DNR852015 DXN852015 EHJ852015 ERF852015 FBB852015 FKX852015 FUT852015 GEP852015 GOL852015 GYH852015 HID852015 HRZ852015 IBV852015 ILR852015 IVN852015 JFJ852015 JPF852015 JZB852015 KIX852015 KST852015 LCP852015 LML852015 LWH852015 MGD852015 MPZ852015 MZV852015 NJR852015 NTN852015 ODJ852015 ONF852015 OXB852015 PGX852015 PQT852015 QAP852015 QKL852015 QUH852015 RED852015 RNZ852015 RXV852015 SHR852015 SRN852015 TBJ852015 TLF852015 TVB852015 UEX852015 UOT852015 UYP852015 VIL852015 VSH852015 WCD852015 WLZ852015 WVV852015 N917551 JJ917551 TF917551 ADB917551 AMX917551 AWT917551 BGP917551 BQL917551 CAH917551 CKD917551 CTZ917551 DDV917551 DNR917551 DXN917551 EHJ917551 ERF917551 FBB917551 FKX917551 FUT917551 GEP917551 GOL917551 GYH917551 HID917551 HRZ917551 IBV917551 ILR917551 IVN917551 JFJ917551 JPF917551 JZB917551 KIX917551 KST917551 LCP917551 LML917551 LWH917551 MGD917551 MPZ917551 MZV917551 NJR917551 NTN917551 ODJ917551 ONF917551 OXB917551 PGX917551 PQT917551 QAP917551 QKL917551 QUH917551 RED917551 RNZ917551 RXV917551 SHR917551 SRN917551 TBJ917551 TLF917551 TVB917551 UEX917551 UOT917551 UYP917551 VIL917551 VSH917551 WCD917551 WLZ917551 WVV917551 N983087 JJ983087 TF983087 ADB983087 AMX983087 AWT983087 BGP983087 BQL983087 CAH983087 CKD983087 CTZ983087 DDV983087 DNR983087 DXN983087 EHJ983087 ERF983087 FBB983087 FKX983087 FUT983087 GEP983087 GOL983087 GYH983087 HID983087 HRZ983087 IBV983087 ILR983087 IVN983087 JFJ983087 JPF983087 JZB983087 KIX983087 KST983087 LCP983087 LML983087 LWH983087 MGD983087 MPZ983087 MZV983087 NJR983087 NTN983087 ODJ983087 ONF983087 OXB983087 PGX983087 PQT983087 QAP983087 QKL983087 QUH983087 RED983087 RNZ983087 RXV983087 SHR983087 SRN983087 TBJ983087 TLF983087 TVB983087 UEX983087 UOT983087 UYP983087 VIL983087 VSH983087 WCD983087 WLZ983087 WVV983087 H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formula1>1</formula1>
      <formula2>5</formula2>
    </dataValidation>
    <dataValidation type="decimal" allowBlank="1" showInputMessage="1" showErrorMessage="1" sqref="H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H65614 JD65614 SZ65614 ACV65614 AMR65614 AWN65614 BGJ65614 BQF65614 CAB65614 CJX65614 CTT65614 DDP65614 DNL65614 DXH65614 EHD65614 EQZ65614 FAV65614 FKR65614 FUN65614 GEJ65614 GOF65614 GYB65614 HHX65614 HRT65614 IBP65614 ILL65614 IVH65614 JFD65614 JOZ65614 JYV65614 KIR65614 KSN65614 LCJ65614 LMF65614 LWB65614 MFX65614 MPT65614 MZP65614 NJL65614 NTH65614 ODD65614 OMZ65614 OWV65614 PGR65614 PQN65614 QAJ65614 QKF65614 QUB65614 RDX65614 RNT65614 RXP65614 SHL65614 SRH65614 TBD65614 TKZ65614 TUV65614 UER65614 UON65614 UYJ65614 VIF65614 VSB65614 WBX65614 WLT65614 WVP65614 H131150 JD131150 SZ131150 ACV131150 AMR131150 AWN131150 BGJ131150 BQF131150 CAB131150 CJX131150 CTT131150 DDP131150 DNL131150 DXH131150 EHD131150 EQZ131150 FAV131150 FKR131150 FUN131150 GEJ131150 GOF131150 GYB131150 HHX131150 HRT131150 IBP131150 ILL131150 IVH131150 JFD131150 JOZ131150 JYV131150 KIR131150 KSN131150 LCJ131150 LMF131150 LWB131150 MFX131150 MPT131150 MZP131150 NJL131150 NTH131150 ODD131150 OMZ131150 OWV131150 PGR131150 PQN131150 QAJ131150 QKF131150 QUB131150 RDX131150 RNT131150 RXP131150 SHL131150 SRH131150 TBD131150 TKZ131150 TUV131150 UER131150 UON131150 UYJ131150 VIF131150 VSB131150 WBX131150 WLT131150 WVP131150 H196686 JD196686 SZ196686 ACV196686 AMR196686 AWN196686 BGJ196686 BQF196686 CAB196686 CJX196686 CTT196686 DDP196686 DNL196686 DXH196686 EHD196686 EQZ196686 FAV196686 FKR196686 FUN196686 GEJ196686 GOF196686 GYB196686 HHX196686 HRT196686 IBP196686 ILL196686 IVH196686 JFD196686 JOZ196686 JYV196686 KIR196686 KSN196686 LCJ196686 LMF196686 LWB196686 MFX196686 MPT196686 MZP196686 NJL196686 NTH196686 ODD196686 OMZ196686 OWV196686 PGR196686 PQN196686 QAJ196686 QKF196686 QUB196686 RDX196686 RNT196686 RXP196686 SHL196686 SRH196686 TBD196686 TKZ196686 TUV196686 UER196686 UON196686 UYJ196686 VIF196686 VSB196686 WBX196686 WLT196686 WVP196686 H262222 JD262222 SZ262222 ACV262222 AMR262222 AWN262222 BGJ262222 BQF262222 CAB262222 CJX262222 CTT262222 DDP262222 DNL262222 DXH262222 EHD262222 EQZ262222 FAV262222 FKR262222 FUN262222 GEJ262222 GOF262222 GYB262222 HHX262222 HRT262222 IBP262222 ILL262222 IVH262222 JFD262222 JOZ262222 JYV262222 KIR262222 KSN262222 LCJ262222 LMF262222 LWB262222 MFX262222 MPT262222 MZP262222 NJL262222 NTH262222 ODD262222 OMZ262222 OWV262222 PGR262222 PQN262222 QAJ262222 QKF262222 QUB262222 RDX262222 RNT262222 RXP262222 SHL262222 SRH262222 TBD262222 TKZ262222 TUV262222 UER262222 UON262222 UYJ262222 VIF262222 VSB262222 WBX262222 WLT262222 WVP262222 H327758 JD327758 SZ327758 ACV327758 AMR327758 AWN327758 BGJ327758 BQF327758 CAB327758 CJX327758 CTT327758 DDP327758 DNL327758 DXH327758 EHD327758 EQZ327758 FAV327758 FKR327758 FUN327758 GEJ327758 GOF327758 GYB327758 HHX327758 HRT327758 IBP327758 ILL327758 IVH327758 JFD327758 JOZ327758 JYV327758 KIR327758 KSN327758 LCJ327758 LMF327758 LWB327758 MFX327758 MPT327758 MZP327758 NJL327758 NTH327758 ODD327758 OMZ327758 OWV327758 PGR327758 PQN327758 QAJ327758 QKF327758 QUB327758 RDX327758 RNT327758 RXP327758 SHL327758 SRH327758 TBD327758 TKZ327758 TUV327758 UER327758 UON327758 UYJ327758 VIF327758 VSB327758 WBX327758 WLT327758 WVP327758 H393294 JD393294 SZ393294 ACV393294 AMR393294 AWN393294 BGJ393294 BQF393294 CAB393294 CJX393294 CTT393294 DDP393294 DNL393294 DXH393294 EHD393294 EQZ393294 FAV393294 FKR393294 FUN393294 GEJ393294 GOF393294 GYB393294 HHX393294 HRT393294 IBP393294 ILL393294 IVH393294 JFD393294 JOZ393294 JYV393294 KIR393294 KSN393294 LCJ393294 LMF393294 LWB393294 MFX393294 MPT393294 MZP393294 NJL393294 NTH393294 ODD393294 OMZ393294 OWV393294 PGR393294 PQN393294 QAJ393294 QKF393294 QUB393294 RDX393294 RNT393294 RXP393294 SHL393294 SRH393294 TBD393294 TKZ393294 TUV393294 UER393294 UON393294 UYJ393294 VIF393294 VSB393294 WBX393294 WLT393294 WVP393294 H458830 JD458830 SZ458830 ACV458830 AMR458830 AWN458830 BGJ458830 BQF458830 CAB458830 CJX458830 CTT458830 DDP458830 DNL458830 DXH458830 EHD458830 EQZ458830 FAV458830 FKR458830 FUN458830 GEJ458830 GOF458830 GYB458830 HHX458830 HRT458830 IBP458830 ILL458830 IVH458830 JFD458830 JOZ458830 JYV458830 KIR458830 KSN458830 LCJ458830 LMF458830 LWB458830 MFX458830 MPT458830 MZP458830 NJL458830 NTH458830 ODD458830 OMZ458830 OWV458830 PGR458830 PQN458830 QAJ458830 QKF458830 QUB458830 RDX458830 RNT458830 RXP458830 SHL458830 SRH458830 TBD458830 TKZ458830 TUV458830 UER458830 UON458830 UYJ458830 VIF458830 VSB458830 WBX458830 WLT458830 WVP458830 H524366 JD524366 SZ524366 ACV524366 AMR524366 AWN524366 BGJ524366 BQF524366 CAB524366 CJX524366 CTT524366 DDP524366 DNL524366 DXH524366 EHD524366 EQZ524366 FAV524366 FKR524366 FUN524366 GEJ524366 GOF524366 GYB524366 HHX524366 HRT524366 IBP524366 ILL524366 IVH524366 JFD524366 JOZ524366 JYV524366 KIR524366 KSN524366 LCJ524366 LMF524366 LWB524366 MFX524366 MPT524366 MZP524366 NJL524366 NTH524366 ODD524366 OMZ524366 OWV524366 PGR524366 PQN524366 QAJ524366 QKF524366 QUB524366 RDX524366 RNT524366 RXP524366 SHL524366 SRH524366 TBD524366 TKZ524366 TUV524366 UER524366 UON524366 UYJ524366 VIF524366 VSB524366 WBX524366 WLT524366 WVP524366 H589902 JD589902 SZ589902 ACV589902 AMR589902 AWN589902 BGJ589902 BQF589902 CAB589902 CJX589902 CTT589902 DDP589902 DNL589902 DXH589902 EHD589902 EQZ589902 FAV589902 FKR589902 FUN589902 GEJ589902 GOF589902 GYB589902 HHX589902 HRT589902 IBP589902 ILL589902 IVH589902 JFD589902 JOZ589902 JYV589902 KIR589902 KSN589902 LCJ589902 LMF589902 LWB589902 MFX589902 MPT589902 MZP589902 NJL589902 NTH589902 ODD589902 OMZ589902 OWV589902 PGR589902 PQN589902 QAJ589902 QKF589902 QUB589902 RDX589902 RNT589902 RXP589902 SHL589902 SRH589902 TBD589902 TKZ589902 TUV589902 UER589902 UON589902 UYJ589902 VIF589902 VSB589902 WBX589902 WLT589902 WVP589902 H655438 JD655438 SZ655438 ACV655438 AMR655438 AWN655438 BGJ655438 BQF655438 CAB655438 CJX655438 CTT655438 DDP655438 DNL655438 DXH655438 EHD655438 EQZ655438 FAV655438 FKR655438 FUN655438 GEJ655438 GOF655438 GYB655438 HHX655438 HRT655438 IBP655438 ILL655438 IVH655438 JFD655438 JOZ655438 JYV655438 KIR655438 KSN655438 LCJ655438 LMF655438 LWB655438 MFX655438 MPT655438 MZP655438 NJL655438 NTH655438 ODD655438 OMZ655438 OWV655438 PGR655438 PQN655438 QAJ655438 QKF655438 QUB655438 RDX655438 RNT655438 RXP655438 SHL655438 SRH655438 TBD655438 TKZ655438 TUV655438 UER655438 UON655438 UYJ655438 VIF655438 VSB655438 WBX655438 WLT655438 WVP655438 H720974 JD720974 SZ720974 ACV720974 AMR720974 AWN720974 BGJ720974 BQF720974 CAB720974 CJX720974 CTT720974 DDP720974 DNL720974 DXH720974 EHD720974 EQZ720974 FAV720974 FKR720974 FUN720974 GEJ720974 GOF720974 GYB720974 HHX720974 HRT720974 IBP720974 ILL720974 IVH720974 JFD720974 JOZ720974 JYV720974 KIR720974 KSN720974 LCJ720974 LMF720974 LWB720974 MFX720974 MPT720974 MZP720974 NJL720974 NTH720974 ODD720974 OMZ720974 OWV720974 PGR720974 PQN720974 QAJ720974 QKF720974 QUB720974 RDX720974 RNT720974 RXP720974 SHL720974 SRH720974 TBD720974 TKZ720974 TUV720974 UER720974 UON720974 UYJ720974 VIF720974 VSB720974 WBX720974 WLT720974 WVP720974 H786510 JD786510 SZ786510 ACV786510 AMR786510 AWN786510 BGJ786510 BQF786510 CAB786510 CJX786510 CTT786510 DDP786510 DNL786510 DXH786510 EHD786510 EQZ786510 FAV786510 FKR786510 FUN786510 GEJ786510 GOF786510 GYB786510 HHX786510 HRT786510 IBP786510 ILL786510 IVH786510 JFD786510 JOZ786510 JYV786510 KIR786510 KSN786510 LCJ786510 LMF786510 LWB786510 MFX786510 MPT786510 MZP786510 NJL786510 NTH786510 ODD786510 OMZ786510 OWV786510 PGR786510 PQN786510 QAJ786510 QKF786510 QUB786510 RDX786510 RNT786510 RXP786510 SHL786510 SRH786510 TBD786510 TKZ786510 TUV786510 UER786510 UON786510 UYJ786510 VIF786510 VSB786510 WBX786510 WLT786510 WVP786510 H852046 JD852046 SZ852046 ACV852046 AMR852046 AWN852046 BGJ852046 BQF852046 CAB852046 CJX852046 CTT852046 DDP852046 DNL852046 DXH852046 EHD852046 EQZ852046 FAV852046 FKR852046 FUN852046 GEJ852046 GOF852046 GYB852046 HHX852046 HRT852046 IBP852046 ILL852046 IVH852046 JFD852046 JOZ852046 JYV852046 KIR852046 KSN852046 LCJ852046 LMF852046 LWB852046 MFX852046 MPT852046 MZP852046 NJL852046 NTH852046 ODD852046 OMZ852046 OWV852046 PGR852046 PQN852046 QAJ852046 QKF852046 QUB852046 RDX852046 RNT852046 RXP852046 SHL852046 SRH852046 TBD852046 TKZ852046 TUV852046 UER852046 UON852046 UYJ852046 VIF852046 VSB852046 WBX852046 WLT852046 WVP852046 H917582 JD917582 SZ917582 ACV917582 AMR917582 AWN917582 BGJ917582 BQF917582 CAB917582 CJX917582 CTT917582 DDP917582 DNL917582 DXH917582 EHD917582 EQZ917582 FAV917582 FKR917582 FUN917582 GEJ917582 GOF917582 GYB917582 HHX917582 HRT917582 IBP917582 ILL917582 IVH917582 JFD917582 JOZ917582 JYV917582 KIR917582 KSN917582 LCJ917582 LMF917582 LWB917582 MFX917582 MPT917582 MZP917582 NJL917582 NTH917582 ODD917582 OMZ917582 OWV917582 PGR917582 PQN917582 QAJ917582 QKF917582 QUB917582 RDX917582 RNT917582 RXP917582 SHL917582 SRH917582 TBD917582 TKZ917582 TUV917582 UER917582 UON917582 UYJ917582 VIF917582 VSB917582 WBX917582 WLT917582 WVP917582 H983118 JD983118 SZ983118 ACV983118 AMR983118 AWN983118 BGJ983118 BQF983118 CAB983118 CJX983118 CTT983118 DDP983118 DNL983118 DXH983118 EHD983118 EQZ983118 FAV983118 FKR983118 FUN983118 GEJ983118 GOF983118 GYB983118 HHX983118 HRT983118 IBP983118 ILL983118 IVH983118 JFD983118 JOZ983118 JYV983118 KIR983118 KSN983118 LCJ983118 LMF983118 LWB983118 MFX983118 MPT983118 MZP983118 NJL983118 NTH983118 ODD983118 OMZ983118 OWV983118 PGR983118 PQN983118 QAJ983118 QKF983118 QUB983118 RDX983118 RNT983118 RXP983118 SHL983118 SRH983118 TBD983118 TKZ983118 TUV983118 UER983118 UON983118 UYJ983118 VIF983118 VSB983118 WBX983118 WLT983118 WVP983118">
      <formula1>2</formula1>
      <formula2>5</formula2>
    </dataValidation>
  </dataValidations>
  <printOptions horizontalCentered="1"/>
  <pageMargins left="0.39370078740157483" right="0.39370078740157483" top="0.59055118110236227" bottom="0.39370078740157483" header="0.31496062992125984" footer="0.31496062992125984"/>
  <pageSetup paperSize="9" scale="59" orientation="portrait" horizontalDpi="300" verticalDpi="300" r:id="rId1"/>
  <headerFooter alignWithMargins="0"/>
  <drawing r:id="rId2"/>
  <legacyDrawing r:id="rId3"/>
  <extLst xmlns:x14="http://schemas.microsoft.com/office/spreadsheetml/2009/9/main">
    <ext uri="{CCE6A557-97BC-4b89-ADB6-D9C93CAAB3DF}">
      <x14:dataValidations xmlns:xm="http://schemas.microsoft.com/office/excel/2006/main" disablePrompts="1" count="1">
        <x14:dataValidation type="list" allowBlank="1" showInputMessage="1" showErrorMessage="1">
          <x14:formula1>
            <xm:f>"1,2,3,4,5,対象外"</xm:f>
          </x14:formula1>
          <xm:sqref>WVP983084:WVP983087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WLT983084:WLT983087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WBX983084:WBX983087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VSB983084:VSB983087 JD29:JD31 SZ29:SZ31 ACV29:ACV31 AMR29:AMR31 AWN29:AWN31 BGJ29:BGJ31 BQF29:BQF31 CAB29:CAB31 CJX29:CJX31 CTT29:CTT31 DDP29:DDP31 DNL29:DNL31 DXH29:DXH31 EHD29:EHD31 EQZ29:EQZ31 FAV29:FAV31 FKR29:FKR31 FUN29:FUN31 GEJ29:GEJ31 GOF29:GOF31 GYB29:GYB31 HHX29:HHX31 HRT29:HRT31 IBP29:IBP31 ILL29:ILL31 IVH29:IVH31 JFD29:JFD31 JOZ29:JOZ31 JYV29:JYV31 KIR29:KIR31 KSN29:KSN31 LCJ29:LCJ31 LMF29:LMF31 LWB29:LWB31 MFX29:MFX31 MPT29:MPT31 MZP29:MZP31 NJL29:NJL31 NTH29:NTH31 ODD29:ODD31 OMZ29:OMZ31 OWV29:OWV31 PGR29:PGR31 PQN29:PQN31 QAJ29:QAJ31 QKF29:QKF31 QUB29:QUB31 RDX29:RDX31 RNT29:RNT31 RXP29:RXP31 SHL29:SHL31 SRH29:SRH31 TBD29:TBD31 TKZ29:TKZ31 TUV29:TUV31 UER29:UER31 UON29:UON31 UYJ29:UYJ31 VIF29:VIF31 VSB29:VSB31 WBX29:WBX31 WLT29:WLT31 WVP29:WVP31 H65570:H65572 JD65570:JD65572 SZ65570:SZ65572 ACV65570:ACV65572 AMR65570:AMR65572 AWN65570:AWN65572 BGJ65570:BGJ65572 BQF65570:BQF65572 CAB65570:CAB65572 CJX65570:CJX65572 CTT65570:CTT65572 DDP65570:DDP65572 DNL65570:DNL65572 DXH65570:DXH65572 EHD65570:EHD65572 EQZ65570:EQZ65572 FAV65570:FAV65572 FKR65570:FKR65572 FUN65570:FUN65572 GEJ65570:GEJ65572 GOF65570:GOF65572 GYB65570:GYB65572 HHX65570:HHX65572 HRT65570:HRT65572 IBP65570:IBP65572 ILL65570:ILL65572 IVH65570:IVH65572 JFD65570:JFD65572 JOZ65570:JOZ65572 JYV65570:JYV65572 KIR65570:KIR65572 KSN65570:KSN65572 LCJ65570:LCJ65572 LMF65570:LMF65572 LWB65570:LWB65572 MFX65570:MFX65572 MPT65570:MPT65572 MZP65570:MZP65572 NJL65570:NJL65572 NTH65570:NTH65572 ODD65570:ODD65572 OMZ65570:OMZ65572 OWV65570:OWV65572 PGR65570:PGR65572 PQN65570:PQN65572 QAJ65570:QAJ65572 QKF65570:QKF65572 QUB65570:QUB65572 RDX65570:RDX65572 RNT65570:RNT65572 RXP65570:RXP65572 SHL65570:SHL65572 SRH65570:SRH65572 TBD65570:TBD65572 TKZ65570:TKZ65572 TUV65570:TUV65572 UER65570:UER65572 UON65570:UON65572 UYJ65570:UYJ65572 VIF65570:VIF65572 VSB65570:VSB65572 WBX65570:WBX65572 WLT65570:WLT65572 WVP65570:WVP65572 H131106:H131108 JD131106:JD131108 SZ131106:SZ131108 ACV131106:ACV131108 AMR131106:AMR131108 AWN131106:AWN131108 BGJ131106:BGJ131108 BQF131106:BQF131108 CAB131106:CAB131108 CJX131106:CJX131108 CTT131106:CTT131108 DDP131106:DDP131108 DNL131106:DNL131108 DXH131106:DXH131108 EHD131106:EHD131108 EQZ131106:EQZ131108 FAV131106:FAV131108 FKR131106:FKR131108 FUN131106:FUN131108 GEJ131106:GEJ131108 GOF131106:GOF131108 GYB131106:GYB131108 HHX131106:HHX131108 HRT131106:HRT131108 IBP131106:IBP131108 ILL131106:ILL131108 IVH131106:IVH131108 JFD131106:JFD131108 JOZ131106:JOZ131108 JYV131106:JYV131108 KIR131106:KIR131108 KSN131106:KSN131108 LCJ131106:LCJ131108 LMF131106:LMF131108 LWB131106:LWB131108 MFX131106:MFX131108 MPT131106:MPT131108 MZP131106:MZP131108 NJL131106:NJL131108 NTH131106:NTH131108 ODD131106:ODD131108 OMZ131106:OMZ131108 OWV131106:OWV131108 PGR131106:PGR131108 PQN131106:PQN131108 QAJ131106:QAJ131108 QKF131106:QKF131108 QUB131106:QUB131108 RDX131106:RDX131108 RNT131106:RNT131108 RXP131106:RXP131108 SHL131106:SHL131108 SRH131106:SRH131108 TBD131106:TBD131108 TKZ131106:TKZ131108 TUV131106:TUV131108 UER131106:UER131108 UON131106:UON131108 UYJ131106:UYJ131108 VIF131106:VIF131108 VSB131106:VSB131108 WBX131106:WBX131108 WLT131106:WLT131108 WVP131106:WVP131108 H196642:H196644 JD196642:JD196644 SZ196642:SZ196644 ACV196642:ACV196644 AMR196642:AMR196644 AWN196642:AWN196644 BGJ196642:BGJ196644 BQF196642:BQF196644 CAB196642:CAB196644 CJX196642:CJX196644 CTT196642:CTT196644 DDP196642:DDP196644 DNL196642:DNL196644 DXH196642:DXH196644 EHD196642:EHD196644 EQZ196642:EQZ196644 FAV196642:FAV196644 FKR196642:FKR196644 FUN196642:FUN196644 GEJ196642:GEJ196644 GOF196642:GOF196644 GYB196642:GYB196644 HHX196642:HHX196644 HRT196642:HRT196644 IBP196642:IBP196644 ILL196642:ILL196644 IVH196642:IVH196644 JFD196642:JFD196644 JOZ196642:JOZ196644 JYV196642:JYV196644 KIR196642:KIR196644 KSN196642:KSN196644 LCJ196642:LCJ196644 LMF196642:LMF196644 LWB196642:LWB196644 MFX196642:MFX196644 MPT196642:MPT196644 MZP196642:MZP196644 NJL196642:NJL196644 NTH196642:NTH196644 ODD196642:ODD196644 OMZ196642:OMZ196644 OWV196642:OWV196644 PGR196642:PGR196644 PQN196642:PQN196644 QAJ196642:QAJ196644 QKF196642:QKF196644 QUB196642:QUB196644 RDX196642:RDX196644 RNT196642:RNT196644 RXP196642:RXP196644 SHL196642:SHL196644 SRH196642:SRH196644 TBD196642:TBD196644 TKZ196642:TKZ196644 TUV196642:TUV196644 UER196642:UER196644 UON196642:UON196644 UYJ196642:UYJ196644 VIF196642:VIF196644 VSB196642:VSB196644 WBX196642:WBX196644 WLT196642:WLT196644 WVP196642:WVP196644 H262178:H262180 JD262178:JD262180 SZ262178:SZ262180 ACV262178:ACV262180 AMR262178:AMR262180 AWN262178:AWN262180 BGJ262178:BGJ262180 BQF262178:BQF262180 CAB262178:CAB262180 CJX262178:CJX262180 CTT262178:CTT262180 DDP262178:DDP262180 DNL262178:DNL262180 DXH262178:DXH262180 EHD262178:EHD262180 EQZ262178:EQZ262180 FAV262178:FAV262180 FKR262178:FKR262180 FUN262178:FUN262180 GEJ262178:GEJ262180 GOF262178:GOF262180 GYB262178:GYB262180 HHX262178:HHX262180 HRT262178:HRT262180 IBP262178:IBP262180 ILL262178:ILL262180 IVH262178:IVH262180 JFD262178:JFD262180 JOZ262178:JOZ262180 JYV262178:JYV262180 KIR262178:KIR262180 KSN262178:KSN262180 LCJ262178:LCJ262180 LMF262178:LMF262180 LWB262178:LWB262180 MFX262178:MFX262180 MPT262178:MPT262180 MZP262178:MZP262180 NJL262178:NJL262180 NTH262178:NTH262180 ODD262178:ODD262180 OMZ262178:OMZ262180 OWV262178:OWV262180 PGR262178:PGR262180 PQN262178:PQN262180 QAJ262178:QAJ262180 QKF262178:QKF262180 QUB262178:QUB262180 RDX262178:RDX262180 RNT262178:RNT262180 RXP262178:RXP262180 SHL262178:SHL262180 SRH262178:SRH262180 TBD262178:TBD262180 TKZ262178:TKZ262180 TUV262178:TUV262180 UER262178:UER262180 UON262178:UON262180 UYJ262178:UYJ262180 VIF262178:VIF262180 VSB262178:VSB262180 WBX262178:WBX262180 WLT262178:WLT262180 WVP262178:WVP262180 H327714:H327716 JD327714:JD327716 SZ327714:SZ327716 ACV327714:ACV327716 AMR327714:AMR327716 AWN327714:AWN327716 BGJ327714:BGJ327716 BQF327714:BQF327716 CAB327714:CAB327716 CJX327714:CJX327716 CTT327714:CTT327716 DDP327714:DDP327716 DNL327714:DNL327716 DXH327714:DXH327716 EHD327714:EHD327716 EQZ327714:EQZ327716 FAV327714:FAV327716 FKR327714:FKR327716 FUN327714:FUN327716 GEJ327714:GEJ327716 GOF327714:GOF327716 GYB327714:GYB327716 HHX327714:HHX327716 HRT327714:HRT327716 IBP327714:IBP327716 ILL327714:ILL327716 IVH327714:IVH327716 JFD327714:JFD327716 JOZ327714:JOZ327716 JYV327714:JYV327716 KIR327714:KIR327716 KSN327714:KSN327716 LCJ327714:LCJ327716 LMF327714:LMF327716 LWB327714:LWB327716 MFX327714:MFX327716 MPT327714:MPT327716 MZP327714:MZP327716 NJL327714:NJL327716 NTH327714:NTH327716 ODD327714:ODD327716 OMZ327714:OMZ327716 OWV327714:OWV327716 PGR327714:PGR327716 PQN327714:PQN327716 QAJ327714:QAJ327716 QKF327714:QKF327716 QUB327714:QUB327716 RDX327714:RDX327716 RNT327714:RNT327716 RXP327714:RXP327716 SHL327714:SHL327716 SRH327714:SRH327716 TBD327714:TBD327716 TKZ327714:TKZ327716 TUV327714:TUV327716 UER327714:UER327716 UON327714:UON327716 UYJ327714:UYJ327716 VIF327714:VIF327716 VSB327714:VSB327716 WBX327714:WBX327716 WLT327714:WLT327716 WVP327714:WVP327716 H393250:H393252 JD393250:JD393252 SZ393250:SZ393252 ACV393250:ACV393252 AMR393250:AMR393252 AWN393250:AWN393252 BGJ393250:BGJ393252 BQF393250:BQF393252 CAB393250:CAB393252 CJX393250:CJX393252 CTT393250:CTT393252 DDP393250:DDP393252 DNL393250:DNL393252 DXH393250:DXH393252 EHD393250:EHD393252 EQZ393250:EQZ393252 FAV393250:FAV393252 FKR393250:FKR393252 FUN393250:FUN393252 GEJ393250:GEJ393252 GOF393250:GOF393252 GYB393250:GYB393252 HHX393250:HHX393252 HRT393250:HRT393252 IBP393250:IBP393252 ILL393250:ILL393252 IVH393250:IVH393252 JFD393250:JFD393252 JOZ393250:JOZ393252 JYV393250:JYV393252 KIR393250:KIR393252 KSN393250:KSN393252 LCJ393250:LCJ393252 LMF393250:LMF393252 LWB393250:LWB393252 MFX393250:MFX393252 MPT393250:MPT393252 MZP393250:MZP393252 NJL393250:NJL393252 NTH393250:NTH393252 ODD393250:ODD393252 OMZ393250:OMZ393252 OWV393250:OWV393252 PGR393250:PGR393252 PQN393250:PQN393252 QAJ393250:QAJ393252 QKF393250:QKF393252 QUB393250:QUB393252 RDX393250:RDX393252 RNT393250:RNT393252 RXP393250:RXP393252 SHL393250:SHL393252 SRH393250:SRH393252 TBD393250:TBD393252 TKZ393250:TKZ393252 TUV393250:TUV393252 UER393250:UER393252 UON393250:UON393252 UYJ393250:UYJ393252 VIF393250:VIF393252 VSB393250:VSB393252 WBX393250:WBX393252 WLT393250:WLT393252 WVP393250:WVP393252 H458786:H458788 JD458786:JD458788 SZ458786:SZ458788 ACV458786:ACV458788 AMR458786:AMR458788 AWN458786:AWN458788 BGJ458786:BGJ458788 BQF458786:BQF458788 CAB458786:CAB458788 CJX458786:CJX458788 CTT458786:CTT458788 DDP458786:DDP458788 DNL458786:DNL458788 DXH458786:DXH458788 EHD458786:EHD458788 EQZ458786:EQZ458788 FAV458786:FAV458788 FKR458786:FKR458788 FUN458786:FUN458788 GEJ458786:GEJ458788 GOF458786:GOF458788 GYB458786:GYB458788 HHX458786:HHX458788 HRT458786:HRT458788 IBP458786:IBP458788 ILL458786:ILL458788 IVH458786:IVH458788 JFD458786:JFD458788 JOZ458786:JOZ458788 JYV458786:JYV458788 KIR458786:KIR458788 KSN458786:KSN458788 LCJ458786:LCJ458788 LMF458786:LMF458788 LWB458786:LWB458788 MFX458786:MFX458788 MPT458786:MPT458788 MZP458786:MZP458788 NJL458786:NJL458788 NTH458786:NTH458788 ODD458786:ODD458788 OMZ458786:OMZ458788 OWV458786:OWV458788 PGR458786:PGR458788 PQN458786:PQN458788 QAJ458786:QAJ458788 QKF458786:QKF458788 QUB458786:QUB458788 RDX458786:RDX458788 RNT458786:RNT458788 RXP458786:RXP458788 SHL458786:SHL458788 SRH458786:SRH458788 TBD458786:TBD458788 TKZ458786:TKZ458788 TUV458786:TUV458788 UER458786:UER458788 UON458786:UON458788 UYJ458786:UYJ458788 VIF458786:VIF458788 VSB458786:VSB458788 WBX458786:WBX458788 WLT458786:WLT458788 WVP458786:WVP458788 H524322:H524324 JD524322:JD524324 SZ524322:SZ524324 ACV524322:ACV524324 AMR524322:AMR524324 AWN524322:AWN524324 BGJ524322:BGJ524324 BQF524322:BQF524324 CAB524322:CAB524324 CJX524322:CJX524324 CTT524322:CTT524324 DDP524322:DDP524324 DNL524322:DNL524324 DXH524322:DXH524324 EHD524322:EHD524324 EQZ524322:EQZ524324 FAV524322:FAV524324 FKR524322:FKR524324 FUN524322:FUN524324 GEJ524322:GEJ524324 GOF524322:GOF524324 GYB524322:GYB524324 HHX524322:HHX524324 HRT524322:HRT524324 IBP524322:IBP524324 ILL524322:ILL524324 IVH524322:IVH524324 JFD524322:JFD524324 JOZ524322:JOZ524324 JYV524322:JYV524324 KIR524322:KIR524324 KSN524322:KSN524324 LCJ524322:LCJ524324 LMF524322:LMF524324 LWB524322:LWB524324 MFX524322:MFX524324 MPT524322:MPT524324 MZP524322:MZP524324 NJL524322:NJL524324 NTH524322:NTH524324 ODD524322:ODD524324 OMZ524322:OMZ524324 OWV524322:OWV524324 PGR524322:PGR524324 PQN524322:PQN524324 QAJ524322:QAJ524324 QKF524322:QKF524324 QUB524322:QUB524324 RDX524322:RDX524324 RNT524322:RNT524324 RXP524322:RXP524324 SHL524322:SHL524324 SRH524322:SRH524324 TBD524322:TBD524324 TKZ524322:TKZ524324 TUV524322:TUV524324 UER524322:UER524324 UON524322:UON524324 UYJ524322:UYJ524324 VIF524322:VIF524324 VSB524322:VSB524324 WBX524322:WBX524324 WLT524322:WLT524324 WVP524322:WVP524324 H589858:H589860 JD589858:JD589860 SZ589858:SZ589860 ACV589858:ACV589860 AMR589858:AMR589860 AWN589858:AWN589860 BGJ589858:BGJ589860 BQF589858:BQF589860 CAB589858:CAB589860 CJX589858:CJX589860 CTT589858:CTT589860 DDP589858:DDP589860 DNL589858:DNL589860 DXH589858:DXH589860 EHD589858:EHD589860 EQZ589858:EQZ589860 FAV589858:FAV589860 FKR589858:FKR589860 FUN589858:FUN589860 GEJ589858:GEJ589860 GOF589858:GOF589860 GYB589858:GYB589860 HHX589858:HHX589860 HRT589858:HRT589860 IBP589858:IBP589860 ILL589858:ILL589860 IVH589858:IVH589860 JFD589858:JFD589860 JOZ589858:JOZ589860 JYV589858:JYV589860 KIR589858:KIR589860 KSN589858:KSN589860 LCJ589858:LCJ589860 LMF589858:LMF589860 LWB589858:LWB589860 MFX589858:MFX589860 MPT589858:MPT589860 MZP589858:MZP589860 NJL589858:NJL589860 NTH589858:NTH589860 ODD589858:ODD589860 OMZ589858:OMZ589860 OWV589858:OWV589860 PGR589858:PGR589860 PQN589858:PQN589860 QAJ589858:QAJ589860 QKF589858:QKF589860 QUB589858:QUB589860 RDX589858:RDX589860 RNT589858:RNT589860 RXP589858:RXP589860 SHL589858:SHL589860 SRH589858:SRH589860 TBD589858:TBD589860 TKZ589858:TKZ589860 TUV589858:TUV589860 UER589858:UER589860 UON589858:UON589860 UYJ589858:UYJ589860 VIF589858:VIF589860 VSB589858:VSB589860 WBX589858:WBX589860 WLT589858:WLT589860 WVP589858:WVP589860 H655394:H655396 JD655394:JD655396 SZ655394:SZ655396 ACV655394:ACV655396 AMR655394:AMR655396 AWN655394:AWN655396 BGJ655394:BGJ655396 BQF655394:BQF655396 CAB655394:CAB655396 CJX655394:CJX655396 CTT655394:CTT655396 DDP655394:DDP655396 DNL655394:DNL655396 DXH655394:DXH655396 EHD655394:EHD655396 EQZ655394:EQZ655396 FAV655394:FAV655396 FKR655394:FKR655396 FUN655394:FUN655396 GEJ655394:GEJ655396 GOF655394:GOF655396 GYB655394:GYB655396 HHX655394:HHX655396 HRT655394:HRT655396 IBP655394:IBP655396 ILL655394:ILL655396 IVH655394:IVH655396 JFD655394:JFD655396 JOZ655394:JOZ655396 JYV655394:JYV655396 KIR655394:KIR655396 KSN655394:KSN655396 LCJ655394:LCJ655396 LMF655394:LMF655396 LWB655394:LWB655396 MFX655394:MFX655396 MPT655394:MPT655396 MZP655394:MZP655396 NJL655394:NJL655396 NTH655394:NTH655396 ODD655394:ODD655396 OMZ655394:OMZ655396 OWV655394:OWV655396 PGR655394:PGR655396 PQN655394:PQN655396 QAJ655394:QAJ655396 QKF655394:QKF655396 QUB655394:QUB655396 RDX655394:RDX655396 RNT655394:RNT655396 RXP655394:RXP655396 SHL655394:SHL655396 SRH655394:SRH655396 TBD655394:TBD655396 TKZ655394:TKZ655396 TUV655394:TUV655396 UER655394:UER655396 UON655394:UON655396 UYJ655394:UYJ655396 VIF655394:VIF655396 VSB655394:VSB655396 WBX655394:WBX655396 WLT655394:WLT655396 WVP655394:WVP655396 H720930:H720932 JD720930:JD720932 SZ720930:SZ720932 ACV720930:ACV720932 AMR720930:AMR720932 AWN720930:AWN720932 BGJ720930:BGJ720932 BQF720930:BQF720932 CAB720930:CAB720932 CJX720930:CJX720932 CTT720930:CTT720932 DDP720930:DDP720932 DNL720930:DNL720932 DXH720930:DXH720932 EHD720930:EHD720932 EQZ720930:EQZ720932 FAV720930:FAV720932 FKR720930:FKR720932 FUN720930:FUN720932 GEJ720930:GEJ720932 GOF720930:GOF720932 GYB720930:GYB720932 HHX720930:HHX720932 HRT720930:HRT720932 IBP720930:IBP720932 ILL720930:ILL720932 IVH720930:IVH720932 JFD720930:JFD720932 JOZ720930:JOZ720932 JYV720930:JYV720932 KIR720930:KIR720932 KSN720930:KSN720932 LCJ720930:LCJ720932 LMF720930:LMF720932 LWB720930:LWB720932 MFX720930:MFX720932 MPT720930:MPT720932 MZP720930:MZP720932 NJL720930:NJL720932 NTH720930:NTH720932 ODD720930:ODD720932 OMZ720930:OMZ720932 OWV720930:OWV720932 PGR720930:PGR720932 PQN720930:PQN720932 QAJ720930:QAJ720932 QKF720930:QKF720932 QUB720930:QUB720932 RDX720930:RDX720932 RNT720930:RNT720932 RXP720930:RXP720932 SHL720930:SHL720932 SRH720930:SRH720932 TBD720930:TBD720932 TKZ720930:TKZ720932 TUV720930:TUV720932 UER720930:UER720932 UON720930:UON720932 UYJ720930:UYJ720932 VIF720930:VIF720932 VSB720930:VSB720932 WBX720930:WBX720932 WLT720930:WLT720932 WVP720930:WVP720932 H786466:H786468 JD786466:JD786468 SZ786466:SZ786468 ACV786466:ACV786468 AMR786466:AMR786468 AWN786466:AWN786468 BGJ786466:BGJ786468 BQF786466:BQF786468 CAB786466:CAB786468 CJX786466:CJX786468 CTT786466:CTT786468 DDP786466:DDP786468 DNL786466:DNL786468 DXH786466:DXH786468 EHD786466:EHD786468 EQZ786466:EQZ786468 FAV786466:FAV786468 FKR786466:FKR786468 FUN786466:FUN786468 GEJ786466:GEJ786468 GOF786466:GOF786468 GYB786466:GYB786468 HHX786466:HHX786468 HRT786466:HRT786468 IBP786466:IBP786468 ILL786466:ILL786468 IVH786466:IVH786468 JFD786466:JFD786468 JOZ786466:JOZ786468 JYV786466:JYV786468 KIR786466:KIR786468 KSN786466:KSN786468 LCJ786466:LCJ786468 LMF786466:LMF786468 LWB786466:LWB786468 MFX786466:MFX786468 MPT786466:MPT786468 MZP786466:MZP786468 NJL786466:NJL786468 NTH786466:NTH786468 ODD786466:ODD786468 OMZ786466:OMZ786468 OWV786466:OWV786468 PGR786466:PGR786468 PQN786466:PQN786468 QAJ786466:QAJ786468 QKF786466:QKF786468 QUB786466:QUB786468 RDX786466:RDX786468 RNT786466:RNT786468 RXP786466:RXP786468 SHL786466:SHL786468 SRH786466:SRH786468 TBD786466:TBD786468 TKZ786466:TKZ786468 TUV786466:TUV786468 UER786466:UER786468 UON786466:UON786468 UYJ786466:UYJ786468 VIF786466:VIF786468 VSB786466:VSB786468 WBX786466:WBX786468 WLT786466:WLT786468 WVP786466:WVP786468 H852002:H852004 JD852002:JD852004 SZ852002:SZ852004 ACV852002:ACV852004 AMR852002:AMR852004 AWN852002:AWN852004 BGJ852002:BGJ852004 BQF852002:BQF852004 CAB852002:CAB852004 CJX852002:CJX852004 CTT852002:CTT852004 DDP852002:DDP852004 DNL852002:DNL852004 DXH852002:DXH852004 EHD852002:EHD852004 EQZ852002:EQZ852004 FAV852002:FAV852004 FKR852002:FKR852004 FUN852002:FUN852004 GEJ852002:GEJ852004 GOF852002:GOF852004 GYB852002:GYB852004 HHX852002:HHX852004 HRT852002:HRT852004 IBP852002:IBP852004 ILL852002:ILL852004 IVH852002:IVH852004 JFD852002:JFD852004 JOZ852002:JOZ852004 JYV852002:JYV852004 KIR852002:KIR852004 KSN852002:KSN852004 LCJ852002:LCJ852004 LMF852002:LMF852004 LWB852002:LWB852004 MFX852002:MFX852004 MPT852002:MPT852004 MZP852002:MZP852004 NJL852002:NJL852004 NTH852002:NTH852004 ODD852002:ODD852004 OMZ852002:OMZ852004 OWV852002:OWV852004 PGR852002:PGR852004 PQN852002:PQN852004 QAJ852002:QAJ852004 QKF852002:QKF852004 QUB852002:QUB852004 RDX852002:RDX852004 RNT852002:RNT852004 RXP852002:RXP852004 SHL852002:SHL852004 SRH852002:SRH852004 TBD852002:TBD852004 TKZ852002:TKZ852004 TUV852002:TUV852004 UER852002:UER852004 UON852002:UON852004 UYJ852002:UYJ852004 VIF852002:VIF852004 VSB852002:VSB852004 WBX852002:WBX852004 WLT852002:WLT852004 WVP852002:WVP852004 H917538:H917540 JD917538:JD917540 SZ917538:SZ917540 ACV917538:ACV917540 AMR917538:AMR917540 AWN917538:AWN917540 BGJ917538:BGJ917540 BQF917538:BQF917540 CAB917538:CAB917540 CJX917538:CJX917540 CTT917538:CTT917540 DDP917538:DDP917540 DNL917538:DNL917540 DXH917538:DXH917540 EHD917538:EHD917540 EQZ917538:EQZ917540 FAV917538:FAV917540 FKR917538:FKR917540 FUN917538:FUN917540 GEJ917538:GEJ917540 GOF917538:GOF917540 GYB917538:GYB917540 HHX917538:HHX917540 HRT917538:HRT917540 IBP917538:IBP917540 ILL917538:ILL917540 IVH917538:IVH917540 JFD917538:JFD917540 JOZ917538:JOZ917540 JYV917538:JYV917540 KIR917538:KIR917540 KSN917538:KSN917540 LCJ917538:LCJ917540 LMF917538:LMF917540 LWB917538:LWB917540 MFX917538:MFX917540 MPT917538:MPT917540 MZP917538:MZP917540 NJL917538:NJL917540 NTH917538:NTH917540 ODD917538:ODD917540 OMZ917538:OMZ917540 OWV917538:OWV917540 PGR917538:PGR917540 PQN917538:PQN917540 QAJ917538:QAJ917540 QKF917538:QKF917540 QUB917538:QUB917540 RDX917538:RDX917540 RNT917538:RNT917540 RXP917538:RXP917540 SHL917538:SHL917540 SRH917538:SRH917540 TBD917538:TBD917540 TKZ917538:TKZ917540 TUV917538:TUV917540 UER917538:UER917540 UON917538:UON917540 UYJ917538:UYJ917540 VIF917538:VIF917540 VSB917538:VSB917540 WBX917538:WBX917540 WLT917538:WLT917540 WVP917538:WVP917540 H983074:H983076 JD983074:JD983076 SZ983074:SZ983076 ACV983074:ACV983076 AMR983074:AMR983076 AWN983074:AWN983076 BGJ983074:BGJ983076 BQF983074:BQF983076 CAB983074:CAB983076 CJX983074:CJX983076 CTT983074:CTT983076 DDP983074:DDP983076 DNL983074:DNL983076 DXH983074:DXH983076 EHD983074:EHD983076 EQZ983074:EQZ983076 FAV983074:FAV983076 FKR983074:FKR983076 FUN983074:FUN983076 GEJ983074:GEJ983076 GOF983074:GOF983076 GYB983074:GYB983076 HHX983074:HHX983076 HRT983074:HRT983076 IBP983074:IBP983076 ILL983074:ILL983076 IVH983074:IVH983076 JFD983074:JFD983076 JOZ983074:JOZ983076 JYV983074:JYV983076 KIR983074:KIR983076 KSN983074:KSN983076 LCJ983074:LCJ983076 LMF983074:LMF983076 LWB983074:LWB983076 MFX983074:MFX983076 MPT983074:MPT983076 MZP983074:MZP983076 NJL983074:NJL983076 NTH983074:NTH983076 ODD983074:ODD983076 OMZ983074:OMZ983076 OWV983074:OWV983076 PGR983074:PGR983076 PQN983074:PQN983076 QAJ983074:QAJ983076 QKF983074:QKF983076 QUB983074:QUB983076 RDX983074:RDX983076 RNT983074:RNT983076 RXP983074:RXP983076 SHL983074:SHL983076 SRH983074:SRH983076 TBD983074:TBD983076 TKZ983074:TKZ983076 TUV983074:TUV983076 UER983074:UER983076 UON983074:UON983076 UYJ983074:UYJ983076 VIF983074:VIF983076 VSB983074:VSB983076 WBX983074:WBX983076 WLT983074:WLT983076 WVP983074:WVP983076 TKZ983084:TKZ983087 JJ68:JJ73 TF68:TF73 ADB68:ADB73 AMX68:AMX73 AWT68:AWT73 BGP68:BGP73 BQL68:BQL73 CAH68:CAH73 CKD68:CKD73 CTZ68:CTZ73 DDV68:DDV73 DNR68:DNR73 DXN68:DXN73 EHJ68:EHJ73 ERF68:ERF73 FBB68:FBB73 FKX68:FKX73 FUT68:FUT73 GEP68:GEP73 GOL68:GOL73 GYH68:GYH73 HID68:HID73 HRZ68:HRZ73 IBV68:IBV73 ILR68:ILR73 IVN68:IVN73 JFJ68:JFJ73 JPF68:JPF73 JZB68:JZB73 KIX68:KIX73 KST68:KST73 LCP68:LCP73 LML68:LML73 LWH68:LWH73 MGD68:MGD73 MPZ68:MPZ73 MZV68:MZV73 NJR68:NJR73 NTN68:NTN73 ODJ68:ODJ73 ONF68:ONF73 OXB68:OXB73 PGX68:PGX73 PQT68:PQT73 QAP68:QAP73 QKL68:QKL73 QUH68:QUH73 RED68:RED73 RNZ68:RNZ73 RXV68:RXV73 SHR68:SHR73 SRN68:SRN73 TBJ68:TBJ73 TLF68:TLF73 TVB68:TVB73 UEX68:UEX73 UOT68:UOT73 UYP68:UYP73 VIL68:VIL73 VSH68:VSH73 WCD68:WCD73 WLZ68:WLZ73 WVV68:WVV73 N65609:N65614 JJ65609:JJ65614 TF65609:TF65614 ADB65609:ADB65614 AMX65609:AMX65614 AWT65609:AWT65614 BGP65609:BGP65614 BQL65609:BQL65614 CAH65609:CAH65614 CKD65609:CKD65614 CTZ65609:CTZ65614 DDV65609:DDV65614 DNR65609:DNR65614 DXN65609:DXN65614 EHJ65609:EHJ65614 ERF65609:ERF65614 FBB65609:FBB65614 FKX65609:FKX65614 FUT65609:FUT65614 GEP65609:GEP65614 GOL65609:GOL65614 GYH65609:GYH65614 HID65609:HID65614 HRZ65609:HRZ65614 IBV65609:IBV65614 ILR65609:ILR65614 IVN65609:IVN65614 JFJ65609:JFJ65614 JPF65609:JPF65614 JZB65609:JZB65614 KIX65609:KIX65614 KST65609:KST65614 LCP65609:LCP65614 LML65609:LML65614 LWH65609:LWH65614 MGD65609:MGD65614 MPZ65609:MPZ65614 MZV65609:MZV65614 NJR65609:NJR65614 NTN65609:NTN65614 ODJ65609:ODJ65614 ONF65609:ONF65614 OXB65609:OXB65614 PGX65609:PGX65614 PQT65609:PQT65614 QAP65609:QAP65614 QKL65609:QKL65614 QUH65609:QUH65614 RED65609:RED65614 RNZ65609:RNZ65614 RXV65609:RXV65614 SHR65609:SHR65614 SRN65609:SRN65614 TBJ65609:TBJ65614 TLF65609:TLF65614 TVB65609:TVB65614 UEX65609:UEX65614 UOT65609:UOT65614 UYP65609:UYP65614 VIL65609:VIL65614 VSH65609:VSH65614 WCD65609:WCD65614 WLZ65609:WLZ65614 WVV65609:WVV65614 N131145:N131150 JJ131145:JJ131150 TF131145:TF131150 ADB131145:ADB131150 AMX131145:AMX131150 AWT131145:AWT131150 BGP131145:BGP131150 BQL131145:BQL131150 CAH131145:CAH131150 CKD131145:CKD131150 CTZ131145:CTZ131150 DDV131145:DDV131150 DNR131145:DNR131150 DXN131145:DXN131150 EHJ131145:EHJ131150 ERF131145:ERF131150 FBB131145:FBB131150 FKX131145:FKX131150 FUT131145:FUT131150 GEP131145:GEP131150 GOL131145:GOL131150 GYH131145:GYH131150 HID131145:HID131150 HRZ131145:HRZ131150 IBV131145:IBV131150 ILR131145:ILR131150 IVN131145:IVN131150 JFJ131145:JFJ131150 JPF131145:JPF131150 JZB131145:JZB131150 KIX131145:KIX131150 KST131145:KST131150 LCP131145:LCP131150 LML131145:LML131150 LWH131145:LWH131150 MGD131145:MGD131150 MPZ131145:MPZ131150 MZV131145:MZV131150 NJR131145:NJR131150 NTN131145:NTN131150 ODJ131145:ODJ131150 ONF131145:ONF131150 OXB131145:OXB131150 PGX131145:PGX131150 PQT131145:PQT131150 QAP131145:QAP131150 QKL131145:QKL131150 QUH131145:QUH131150 RED131145:RED131150 RNZ131145:RNZ131150 RXV131145:RXV131150 SHR131145:SHR131150 SRN131145:SRN131150 TBJ131145:TBJ131150 TLF131145:TLF131150 TVB131145:TVB131150 UEX131145:UEX131150 UOT131145:UOT131150 UYP131145:UYP131150 VIL131145:VIL131150 VSH131145:VSH131150 WCD131145:WCD131150 WLZ131145:WLZ131150 WVV131145:WVV131150 N196681:N196686 JJ196681:JJ196686 TF196681:TF196686 ADB196681:ADB196686 AMX196681:AMX196686 AWT196681:AWT196686 BGP196681:BGP196686 BQL196681:BQL196686 CAH196681:CAH196686 CKD196681:CKD196686 CTZ196681:CTZ196686 DDV196681:DDV196686 DNR196681:DNR196686 DXN196681:DXN196686 EHJ196681:EHJ196686 ERF196681:ERF196686 FBB196681:FBB196686 FKX196681:FKX196686 FUT196681:FUT196686 GEP196681:GEP196686 GOL196681:GOL196686 GYH196681:GYH196686 HID196681:HID196686 HRZ196681:HRZ196686 IBV196681:IBV196686 ILR196681:ILR196686 IVN196681:IVN196686 JFJ196681:JFJ196686 JPF196681:JPF196686 JZB196681:JZB196686 KIX196681:KIX196686 KST196681:KST196686 LCP196681:LCP196686 LML196681:LML196686 LWH196681:LWH196686 MGD196681:MGD196686 MPZ196681:MPZ196686 MZV196681:MZV196686 NJR196681:NJR196686 NTN196681:NTN196686 ODJ196681:ODJ196686 ONF196681:ONF196686 OXB196681:OXB196686 PGX196681:PGX196686 PQT196681:PQT196686 QAP196681:QAP196686 QKL196681:QKL196686 QUH196681:QUH196686 RED196681:RED196686 RNZ196681:RNZ196686 RXV196681:RXV196686 SHR196681:SHR196686 SRN196681:SRN196686 TBJ196681:TBJ196686 TLF196681:TLF196686 TVB196681:TVB196686 UEX196681:UEX196686 UOT196681:UOT196686 UYP196681:UYP196686 VIL196681:VIL196686 VSH196681:VSH196686 WCD196681:WCD196686 WLZ196681:WLZ196686 WVV196681:WVV196686 N262217:N262222 JJ262217:JJ262222 TF262217:TF262222 ADB262217:ADB262222 AMX262217:AMX262222 AWT262217:AWT262222 BGP262217:BGP262222 BQL262217:BQL262222 CAH262217:CAH262222 CKD262217:CKD262222 CTZ262217:CTZ262222 DDV262217:DDV262222 DNR262217:DNR262222 DXN262217:DXN262222 EHJ262217:EHJ262222 ERF262217:ERF262222 FBB262217:FBB262222 FKX262217:FKX262222 FUT262217:FUT262222 GEP262217:GEP262222 GOL262217:GOL262222 GYH262217:GYH262222 HID262217:HID262222 HRZ262217:HRZ262222 IBV262217:IBV262222 ILR262217:ILR262222 IVN262217:IVN262222 JFJ262217:JFJ262222 JPF262217:JPF262222 JZB262217:JZB262222 KIX262217:KIX262222 KST262217:KST262222 LCP262217:LCP262222 LML262217:LML262222 LWH262217:LWH262222 MGD262217:MGD262222 MPZ262217:MPZ262222 MZV262217:MZV262222 NJR262217:NJR262222 NTN262217:NTN262222 ODJ262217:ODJ262222 ONF262217:ONF262222 OXB262217:OXB262222 PGX262217:PGX262222 PQT262217:PQT262222 QAP262217:QAP262222 QKL262217:QKL262222 QUH262217:QUH262222 RED262217:RED262222 RNZ262217:RNZ262222 RXV262217:RXV262222 SHR262217:SHR262222 SRN262217:SRN262222 TBJ262217:TBJ262222 TLF262217:TLF262222 TVB262217:TVB262222 UEX262217:UEX262222 UOT262217:UOT262222 UYP262217:UYP262222 VIL262217:VIL262222 VSH262217:VSH262222 WCD262217:WCD262222 WLZ262217:WLZ262222 WVV262217:WVV262222 N327753:N327758 JJ327753:JJ327758 TF327753:TF327758 ADB327753:ADB327758 AMX327753:AMX327758 AWT327753:AWT327758 BGP327753:BGP327758 BQL327753:BQL327758 CAH327753:CAH327758 CKD327753:CKD327758 CTZ327753:CTZ327758 DDV327753:DDV327758 DNR327753:DNR327758 DXN327753:DXN327758 EHJ327753:EHJ327758 ERF327753:ERF327758 FBB327753:FBB327758 FKX327753:FKX327758 FUT327753:FUT327758 GEP327753:GEP327758 GOL327753:GOL327758 GYH327753:GYH327758 HID327753:HID327758 HRZ327753:HRZ327758 IBV327753:IBV327758 ILR327753:ILR327758 IVN327753:IVN327758 JFJ327753:JFJ327758 JPF327753:JPF327758 JZB327753:JZB327758 KIX327753:KIX327758 KST327753:KST327758 LCP327753:LCP327758 LML327753:LML327758 LWH327753:LWH327758 MGD327753:MGD327758 MPZ327753:MPZ327758 MZV327753:MZV327758 NJR327753:NJR327758 NTN327753:NTN327758 ODJ327753:ODJ327758 ONF327753:ONF327758 OXB327753:OXB327758 PGX327753:PGX327758 PQT327753:PQT327758 QAP327753:QAP327758 QKL327753:QKL327758 QUH327753:QUH327758 RED327753:RED327758 RNZ327753:RNZ327758 RXV327753:RXV327758 SHR327753:SHR327758 SRN327753:SRN327758 TBJ327753:TBJ327758 TLF327753:TLF327758 TVB327753:TVB327758 UEX327753:UEX327758 UOT327753:UOT327758 UYP327753:UYP327758 VIL327753:VIL327758 VSH327753:VSH327758 WCD327753:WCD327758 WLZ327753:WLZ327758 WVV327753:WVV327758 N393289:N393294 JJ393289:JJ393294 TF393289:TF393294 ADB393289:ADB393294 AMX393289:AMX393294 AWT393289:AWT393294 BGP393289:BGP393294 BQL393289:BQL393294 CAH393289:CAH393294 CKD393289:CKD393294 CTZ393289:CTZ393294 DDV393289:DDV393294 DNR393289:DNR393294 DXN393289:DXN393294 EHJ393289:EHJ393294 ERF393289:ERF393294 FBB393289:FBB393294 FKX393289:FKX393294 FUT393289:FUT393294 GEP393289:GEP393294 GOL393289:GOL393294 GYH393289:GYH393294 HID393289:HID393294 HRZ393289:HRZ393294 IBV393289:IBV393294 ILR393289:ILR393294 IVN393289:IVN393294 JFJ393289:JFJ393294 JPF393289:JPF393294 JZB393289:JZB393294 KIX393289:KIX393294 KST393289:KST393294 LCP393289:LCP393294 LML393289:LML393294 LWH393289:LWH393294 MGD393289:MGD393294 MPZ393289:MPZ393294 MZV393289:MZV393294 NJR393289:NJR393294 NTN393289:NTN393294 ODJ393289:ODJ393294 ONF393289:ONF393294 OXB393289:OXB393294 PGX393289:PGX393294 PQT393289:PQT393294 QAP393289:QAP393294 QKL393289:QKL393294 QUH393289:QUH393294 RED393289:RED393294 RNZ393289:RNZ393294 RXV393289:RXV393294 SHR393289:SHR393294 SRN393289:SRN393294 TBJ393289:TBJ393294 TLF393289:TLF393294 TVB393289:TVB393294 UEX393289:UEX393294 UOT393289:UOT393294 UYP393289:UYP393294 VIL393289:VIL393294 VSH393289:VSH393294 WCD393289:WCD393294 WLZ393289:WLZ393294 WVV393289:WVV393294 N458825:N458830 JJ458825:JJ458830 TF458825:TF458830 ADB458825:ADB458830 AMX458825:AMX458830 AWT458825:AWT458830 BGP458825:BGP458830 BQL458825:BQL458830 CAH458825:CAH458830 CKD458825:CKD458830 CTZ458825:CTZ458830 DDV458825:DDV458830 DNR458825:DNR458830 DXN458825:DXN458830 EHJ458825:EHJ458830 ERF458825:ERF458830 FBB458825:FBB458830 FKX458825:FKX458830 FUT458825:FUT458830 GEP458825:GEP458830 GOL458825:GOL458830 GYH458825:GYH458830 HID458825:HID458830 HRZ458825:HRZ458830 IBV458825:IBV458830 ILR458825:ILR458830 IVN458825:IVN458830 JFJ458825:JFJ458830 JPF458825:JPF458830 JZB458825:JZB458830 KIX458825:KIX458830 KST458825:KST458830 LCP458825:LCP458830 LML458825:LML458830 LWH458825:LWH458830 MGD458825:MGD458830 MPZ458825:MPZ458830 MZV458825:MZV458830 NJR458825:NJR458830 NTN458825:NTN458830 ODJ458825:ODJ458830 ONF458825:ONF458830 OXB458825:OXB458830 PGX458825:PGX458830 PQT458825:PQT458830 QAP458825:QAP458830 QKL458825:QKL458830 QUH458825:QUH458830 RED458825:RED458830 RNZ458825:RNZ458830 RXV458825:RXV458830 SHR458825:SHR458830 SRN458825:SRN458830 TBJ458825:TBJ458830 TLF458825:TLF458830 TVB458825:TVB458830 UEX458825:UEX458830 UOT458825:UOT458830 UYP458825:UYP458830 VIL458825:VIL458830 VSH458825:VSH458830 WCD458825:WCD458830 WLZ458825:WLZ458830 WVV458825:WVV458830 N524361:N524366 JJ524361:JJ524366 TF524361:TF524366 ADB524361:ADB524366 AMX524361:AMX524366 AWT524361:AWT524366 BGP524361:BGP524366 BQL524361:BQL524366 CAH524361:CAH524366 CKD524361:CKD524366 CTZ524361:CTZ524366 DDV524361:DDV524366 DNR524361:DNR524366 DXN524361:DXN524366 EHJ524361:EHJ524366 ERF524361:ERF524366 FBB524361:FBB524366 FKX524361:FKX524366 FUT524361:FUT524366 GEP524361:GEP524366 GOL524361:GOL524366 GYH524361:GYH524366 HID524361:HID524366 HRZ524361:HRZ524366 IBV524361:IBV524366 ILR524361:ILR524366 IVN524361:IVN524366 JFJ524361:JFJ524366 JPF524361:JPF524366 JZB524361:JZB524366 KIX524361:KIX524366 KST524361:KST524366 LCP524361:LCP524366 LML524361:LML524366 LWH524361:LWH524366 MGD524361:MGD524366 MPZ524361:MPZ524366 MZV524361:MZV524366 NJR524361:NJR524366 NTN524361:NTN524366 ODJ524361:ODJ524366 ONF524361:ONF524366 OXB524361:OXB524366 PGX524361:PGX524366 PQT524361:PQT524366 QAP524361:QAP524366 QKL524361:QKL524366 QUH524361:QUH524366 RED524361:RED524366 RNZ524361:RNZ524366 RXV524361:RXV524366 SHR524361:SHR524366 SRN524361:SRN524366 TBJ524361:TBJ524366 TLF524361:TLF524366 TVB524361:TVB524366 UEX524361:UEX524366 UOT524361:UOT524366 UYP524361:UYP524366 VIL524361:VIL524366 VSH524361:VSH524366 WCD524361:WCD524366 WLZ524361:WLZ524366 WVV524361:WVV524366 N589897:N589902 JJ589897:JJ589902 TF589897:TF589902 ADB589897:ADB589902 AMX589897:AMX589902 AWT589897:AWT589902 BGP589897:BGP589902 BQL589897:BQL589902 CAH589897:CAH589902 CKD589897:CKD589902 CTZ589897:CTZ589902 DDV589897:DDV589902 DNR589897:DNR589902 DXN589897:DXN589902 EHJ589897:EHJ589902 ERF589897:ERF589902 FBB589897:FBB589902 FKX589897:FKX589902 FUT589897:FUT589902 GEP589897:GEP589902 GOL589897:GOL589902 GYH589897:GYH589902 HID589897:HID589902 HRZ589897:HRZ589902 IBV589897:IBV589902 ILR589897:ILR589902 IVN589897:IVN589902 JFJ589897:JFJ589902 JPF589897:JPF589902 JZB589897:JZB589902 KIX589897:KIX589902 KST589897:KST589902 LCP589897:LCP589902 LML589897:LML589902 LWH589897:LWH589902 MGD589897:MGD589902 MPZ589897:MPZ589902 MZV589897:MZV589902 NJR589897:NJR589902 NTN589897:NTN589902 ODJ589897:ODJ589902 ONF589897:ONF589902 OXB589897:OXB589902 PGX589897:PGX589902 PQT589897:PQT589902 QAP589897:QAP589902 QKL589897:QKL589902 QUH589897:QUH589902 RED589897:RED589902 RNZ589897:RNZ589902 RXV589897:RXV589902 SHR589897:SHR589902 SRN589897:SRN589902 TBJ589897:TBJ589902 TLF589897:TLF589902 TVB589897:TVB589902 UEX589897:UEX589902 UOT589897:UOT589902 UYP589897:UYP589902 VIL589897:VIL589902 VSH589897:VSH589902 WCD589897:WCD589902 WLZ589897:WLZ589902 WVV589897:WVV589902 N655433:N655438 JJ655433:JJ655438 TF655433:TF655438 ADB655433:ADB655438 AMX655433:AMX655438 AWT655433:AWT655438 BGP655433:BGP655438 BQL655433:BQL655438 CAH655433:CAH655438 CKD655433:CKD655438 CTZ655433:CTZ655438 DDV655433:DDV655438 DNR655433:DNR655438 DXN655433:DXN655438 EHJ655433:EHJ655438 ERF655433:ERF655438 FBB655433:FBB655438 FKX655433:FKX655438 FUT655433:FUT655438 GEP655433:GEP655438 GOL655433:GOL655438 GYH655433:GYH655438 HID655433:HID655438 HRZ655433:HRZ655438 IBV655433:IBV655438 ILR655433:ILR655438 IVN655433:IVN655438 JFJ655433:JFJ655438 JPF655433:JPF655438 JZB655433:JZB655438 KIX655433:KIX655438 KST655433:KST655438 LCP655433:LCP655438 LML655433:LML655438 LWH655433:LWH655438 MGD655433:MGD655438 MPZ655433:MPZ655438 MZV655433:MZV655438 NJR655433:NJR655438 NTN655433:NTN655438 ODJ655433:ODJ655438 ONF655433:ONF655438 OXB655433:OXB655438 PGX655433:PGX655438 PQT655433:PQT655438 QAP655433:QAP655438 QKL655433:QKL655438 QUH655433:QUH655438 RED655433:RED655438 RNZ655433:RNZ655438 RXV655433:RXV655438 SHR655433:SHR655438 SRN655433:SRN655438 TBJ655433:TBJ655438 TLF655433:TLF655438 TVB655433:TVB655438 UEX655433:UEX655438 UOT655433:UOT655438 UYP655433:UYP655438 VIL655433:VIL655438 VSH655433:VSH655438 WCD655433:WCD655438 WLZ655433:WLZ655438 WVV655433:WVV655438 N720969:N720974 JJ720969:JJ720974 TF720969:TF720974 ADB720969:ADB720974 AMX720969:AMX720974 AWT720969:AWT720974 BGP720969:BGP720974 BQL720969:BQL720974 CAH720969:CAH720974 CKD720969:CKD720974 CTZ720969:CTZ720974 DDV720969:DDV720974 DNR720969:DNR720974 DXN720969:DXN720974 EHJ720969:EHJ720974 ERF720969:ERF720974 FBB720969:FBB720974 FKX720969:FKX720974 FUT720969:FUT720974 GEP720969:GEP720974 GOL720969:GOL720974 GYH720969:GYH720974 HID720969:HID720974 HRZ720969:HRZ720974 IBV720969:IBV720974 ILR720969:ILR720974 IVN720969:IVN720974 JFJ720969:JFJ720974 JPF720969:JPF720974 JZB720969:JZB720974 KIX720969:KIX720974 KST720969:KST720974 LCP720969:LCP720974 LML720969:LML720974 LWH720969:LWH720974 MGD720969:MGD720974 MPZ720969:MPZ720974 MZV720969:MZV720974 NJR720969:NJR720974 NTN720969:NTN720974 ODJ720969:ODJ720974 ONF720969:ONF720974 OXB720969:OXB720974 PGX720969:PGX720974 PQT720969:PQT720974 QAP720969:QAP720974 QKL720969:QKL720974 QUH720969:QUH720974 RED720969:RED720974 RNZ720969:RNZ720974 RXV720969:RXV720974 SHR720969:SHR720974 SRN720969:SRN720974 TBJ720969:TBJ720974 TLF720969:TLF720974 TVB720969:TVB720974 UEX720969:UEX720974 UOT720969:UOT720974 UYP720969:UYP720974 VIL720969:VIL720974 VSH720969:VSH720974 WCD720969:WCD720974 WLZ720969:WLZ720974 WVV720969:WVV720974 N786505:N786510 JJ786505:JJ786510 TF786505:TF786510 ADB786505:ADB786510 AMX786505:AMX786510 AWT786505:AWT786510 BGP786505:BGP786510 BQL786505:BQL786510 CAH786505:CAH786510 CKD786505:CKD786510 CTZ786505:CTZ786510 DDV786505:DDV786510 DNR786505:DNR786510 DXN786505:DXN786510 EHJ786505:EHJ786510 ERF786505:ERF786510 FBB786505:FBB786510 FKX786505:FKX786510 FUT786505:FUT786510 GEP786505:GEP786510 GOL786505:GOL786510 GYH786505:GYH786510 HID786505:HID786510 HRZ786505:HRZ786510 IBV786505:IBV786510 ILR786505:ILR786510 IVN786505:IVN786510 JFJ786505:JFJ786510 JPF786505:JPF786510 JZB786505:JZB786510 KIX786505:KIX786510 KST786505:KST786510 LCP786505:LCP786510 LML786505:LML786510 LWH786505:LWH786510 MGD786505:MGD786510 MPZ786505:MPZ786510 MZV786505:MZV786510 NJR786505:NJR786510 NTN786505:NTN786510 ODJ786505:ODJ786510 ONF786505:ONF786510 OXB786505:OXB786510 PGX786505:PGX786510 PQT786505:PQT786510 QAP786505:QAP786510 QKL786505:QKL786510 QUH786505:QUH786510 RED786505:RED786510 RNZ786505:RNZ786510 RXV786505:RXV786510 SHR786505:SHR786510 SRN786505:SRN786510 TBJ786505:TBJ786510 TLF786505:TLF786510 TVB786505:TVB786510 UEX786505:UEX786510 UOT786505:UOT786510 UYP786505:UYP786510 VIL786505:VIL786510 VSH786505:VSH786510 WCD786505:WCD786510 WLZ786505:WLZ786510 WVV786505:WVV786510 N852041:N852046 JJ852041:JJ852046 TF852041:TF852046 ADB852041:ADB852046 AMX852041:AMX852046 AWT852041:AWT852046 BGP852041:BGP852046 BQL852041:BQL852046 CAH852041:CAH852046 CKD852041:CKD852046 CTZ852041:CTZ852046 DDV852041:DDV852046 DNR852041:DNR852046 DXN852041:DXN852046 EHJ852041:EHJ852046 ERF852041:ERF852046 FBB852041:FBB852046 FKX852041:FKX852046 FUT852041:FUT852046 GEP852041:GEP852046 GOL852041:GOL852046 GYH852041:GYH852046 HID852041:HID852046 HRZ852041:HRZ852046 IBV852041:IBV852046 ILR852041:ILR852046 IVN852041:IVN852046 JFJ852041:JFJ852046 JPF852041:JPF852046 JZB852041:JZB852046 KIX852041:KIX852046 KST852041:KST852046 LCP852041:LCP852046 LML852041:LML852046 LWH852041:LWH852046 MGD852041:MGD852046 MPZ852041:MPZ852046 MZV852041:MZV852046 NJR852041:NJR852046 NTN852041:NTN852046 ODJ852041:ODJ852046 ONF852041:ONF852046 OXB852041:OXB852046 PGX852041:PGX852046 PQT852041:PQT852046 QAP852041:QAP852046 QKL852041:QKL852046 QUH852041:QUH852046 RED852041:RED852046 RNZ852041:RNZ852046 RXV852041:RXV852046 SHR852041:SHR852046 SRN852041:SRN852046 TBJ852041:TBJ852046 TLF852041:TLF852046 TVB852041:TVB852046 UEX852041:UEX852046 UOT852041:UOT852046 UYP852041:UYP852046 VIL852041:VIL852046 VSH852041:VSH852046 WCD852041:WCD852046 WLZ852041:WLZ852046 WVV852041:WVV852046 N917577:N917582 JJ917577:JJ917582 TF917577:TF917582 ADB917577:ADB917582 AMX917577:AMX917582 AWT917577:AWT917582 BGP917577:BGP917582 BQL917577:BQL917582 CAH917577:CAH917582 CKD917577:CKD917582 CTZ917577:CTZ917582 DDV917577:DDV917582 DNR917577:DNR917582 DXN917577:DXN917582 EHJ917577:EHJ917582 ERF917577:ERF917582 FBB917577:FBB917582 FKX917577:FKX917582 FUT917577:FUT917582 GEP917577:GEP917582 GOL917577:GOL917582 GYH917577:GYH917582 HID917577:HID917582 HRZ917577:HRZ917582 IBV917577:IBV917582 ILR917577:ILR917582 IVN917577:IVN917582 JFJ917577:JFJ917582 JPF917577:JPF917582 JZB917577:JZB917582 KIX917577:KIX917582 KST917577:KST917582 LCP917577:LCP917582 LML917577:LML917582 LWH917577:LWH917582 MGD917577:MGD917582 MPZ917577:MPZ917582 MZV917577:MZV917582 NJR917577:NJR917582 NTN917577:NTN917582 ODJ917577:ODJ917582 ONF917577:ONF917582 OXB917577:OXB917582 PGX917577:PGX917582 PQT917577:PQT917582 QAP917577:QAP917582 QKL917577:QKL917582 QUH917577:QUH917582 RED917577:RED917582 RNZ917577:RNZ917582 RXV917577:RXV917582 SHR917577:SHR917582 SRN917577:SRN917582 TBJ917577:TBJ917582 TLF917577:TLF917582 TVB917577:TVB917582 UEX917577:UEX917582 UOT917577:UOT917582 UYP917577:UYP917582 VIL917577:VIL917582 VSH917577:VSH917582 WCD917577:WCD917582 WLZ917577:WLZ917582 WVV917577:WVV917582 N983113:N983118 JJ983113:JJ983118 TF983113:TF983118 ADB983113:ADB983118 AMX983113:AMX983118 AWT983113:AWT983118 BGP983113:BGP983118 BQL983113:BQL983118 CAH983113:CAH983118 CKD983113:CKD983118 CTZ983113:CTZ983118 DDV983113:DDV983118 DNR983113:DNR983118 DXN983113:DXN983118 EHJ983113:EHJ983118 ERF983113:ERF983118 FBB983113:FBB983118 FKX983113:FKX983118 FUT983113:FUT983118 GEP983113:GEP983118 GOL983113:GOL983118 GYH983113:GYH983118 HID983113:HID983118 HRZ983113:HRZ983118 IBV983113:IBV983118 ILR983113:ILR983118 IVN983113:IVN983118 JFJ983113:JFJ983118 JPF983113:JPF983118 JZB983113:JZB983118 KIX983113:KIX983118 KST983113:KST983118 LCP983113:LCP983118 LML983113:LML983118 LWH983113:LWH983118 MGD983113:MGD983118 MPZ983113:MPZ983118 MZV983113:MZV983118 NJR983113:NJR983118 NTN983113:NTN983118 ODJ983113:ODJ983118 ONF983113:ONF983118 OXB983113:OXB983118 PGX983113:PGX983118 PQT983113:PQT983118 QAP983113:QAP983118 QKL983113:QKL983118 QUH983113:QUH983118 RED983113:RED983118 RNZ983113:RNZ983118 RXV983113:RXV983118 SHR983113:SHR983118 SRN983113:SRN983118 TBJ983113:TBJ983118 TLF983113:TLF983118 TVB983113:TVB983118 UEX983113:UEX983118 UOT983113:UOT983118 UYP983113:UYP983118 VIL983113:VIL983118 VSH983113:VSH983118 WCD983113:WCD983118 WLZ983113:WLZ983118 WVV983113:WVV983118 TBD983084:TBD983087 JD68:JD72 SZ68:SZ72 ACV68:ACV72 AMR68:AMR72 AWN68:AWN72 BGJ68:BGJ72 BQF68:BQF72 CAB68:CAB72 CJX68:CJX72 CTT68:CTT72 DDP68:DDP72 DNL68:DNL72 DXH68:DXH72 EHD68:EHD72 EQZ68:EQZ72 FAV68:FAV72 FKR68:FKR72 FUN68:FUN72 GEJ68:GEJ72 GOF68:GOF72 GYB68:GYB72 HHX68:HHX72 HRT68:HRT72 IBP68:IBP72 ILL68:ILL72 IVH68:IVH72 JFD68:JFD72 JOZ68:JOZ72 JYV68:JYV72 KIR68:KIR72 KSN68:KSN72 LCJ68:LCJ72 LMF68:LMF72 LWB68:LWB72 MFX68:MFX72 MPT68:MPT72 MZP68:MZP72 NJL68:NJL72 NTH68:NTH72 ODD68:ODD72 OMZ68:OMZ72 OWV68:OWV72 PGR68:PGR72 PQN68:PQN72 QAJ68:QAJ72 QKF68:QKF72 QUB68:QUB72 RDX68:RDX72 RNT68:RNT72 RXP68:RXP72 SHL68:SHL72 SRH68:SRH72 TBD68:TBD72 TKZ68:TKZ72 TUV68:TUV72 UER68:UER72 UON68:UON72 UYJ68:UYJ72 VIF68:VIF72 VSB68:VSB72 WBX68:WBX72 WLT68:WLT72 WVP68:WVP72 H65609:H65613 JD65609:JD65613 SZ65609:SZ65613 ACV65609:ACV65613 AMR65609:AMR65613 AWN65609:AWN65613 BGJ65609:BGJ65613 BQF65609:BQF65613 CAB65609:CAB65613 CJX65609:CJX65613 CTT65609:CTT65613 DDP65609:DDP65613 DNL65609:DNL65613 DXH65609:DXH65613 EHD65609:EHD65613 EQZ65609:EQZ65613 FAV65609:FAV65613 FKR65609:FKR65613 FUN65609:FUN65613 GEJ65609:GEJ65613 GOF65609:GOF65613 GYB65609:GYB65613 HHX65609:HHX65613 HRT65609:HRT65613 IBP65609:IBP65613 ILL65609:ILL65613 IVH65609:IVH65613 JFD65609:JFD65613 JOZ65609:JOZ65613 JYV65609:JYV65613 KIR65609:KIR65613 KSN65609:KSN65613 LCJ65609:LCJ65613 LMF65609:LMF65613 LWB65609:LWB65613 MFX65609:MFX65613 MPT65609:MPT65613 MZP65609:MZP65613 NJL65609:NJL65613 NTH65609:NTH65613 ODD65609:ODD65613 OMZ65609:OMZ65613 OWV65609:OWV65613 PGR65609:PGR65613 PQN65609:PQN65613 QAJ65609:QAJ65613 QKF65609:QKF65613 QUB65609:QUB65613 RDX65609:RDX65613 RNT65609:RNT65613 RXP65609:RXP65613 SHL65609:SHL65613 SRH65609:SRH65613 TBD65609:TBD65613 TKZ65609:TKZ65613 TUV65609:TUV65613 UER65609:UER65613 UON65609:UON65613 UYJ65609:UYJ65613 VIF65609:VIF65613 VSB65609:VSB65613 WBX65609:WBX65613 WLT65609:WLT65613 WVP65609:WVP65613 H131145:H131149 JD131145:JD131149 SZ131145:SZ131149 ACV131145:ACV131149 AMR131145:AMR131149 AWN131145:AWN131149 BGJ131145:BGJ131149 BQF131145:BQF131149 CAB131145:CAB131149 CJX131145:CJX131149 CTT131145:CTT131149 DDP131145:DDP131149 DNL131145:DNL131149 DXH131145:DXH131149 EHD131145:EHD131149 EQZ131145:EQZ131149 FAV131145:FAV131149 FKR131145:FKR131149 FUN131145:FUN131149 GEJ131145:GEJ131149 GOF131145:GOF131149 GYB131145:GYB131149 HHX131145:HHX131149 HRT131145:HRT131149 IBP131145:IBP131149 ILL131145:ILL131149 IVH131145:IVH131149 JFD131145:JFD131149 JOZ131145:JOZ131149 JYV131145:JYV131149 KIR131145:KIR131149 KSN131145:KSN131149 LCJ131145:LCJ131149 LMF131145:LMF131149 LWB131145:LWB131149 MFX131145:MFX131149 MPT131145:MPT131149 MZP131145:MZP131149 NJL131145:NJL131149 NTH131145:NTH131149 ODD131145:ODD131149 OMZ131145:OMZ131149 OWV131145:OWV131149 PGR131145:PGR131149 PQN131145:PQN131149 QAJ131145:QAJ131149 QKF131145:QKF131149 QUB131145:QUB131149 RDX131145:RDX131149 RNT131145:RNT131149 RXP131145:RXP131149 SHL131145:SHL131149 SRH131145:SRH131149 TBD131145:TBD131149 TKZ131145:TKZ131149 TUV131145:TUV131149 UER131145:UER131149 UON131145:UON131149 UYJ131145:UYJ131149 VIF131145:VIF131149 VSB131145:VSB131149 WBX131145:WBX131149 WLT131145:WLT131149 WVP131145:WVP131149 H196681:H196685 JD196681:JD196685 SZ196681:SZ196685 ACV196681:ACV196685 AMR196681:AMR196685 AWN196681:AWN196685 BGJ196681:BGJ196685 BQF196681:BQF196685 CAB196681:CAB196685 CJX196681:CJX196685 CTT196681:CTT196685 DDP196681:DDP196685 DNL196681:DNL196685 DXH196681:DXH196685 EHD196681:EHD196685 EQZ196681:EQZ196685 FAV196681:FAV196685 FKR196681:FKR196685 FUN196681:FUN196685 GEJ196681:GEJ196685 GOF196681:GOF196685 GYB196681:GYB196685 HHX196681:HHX196685 HRT196681:HRT196685 IBP196681:IBP196685 ILL196681:ILL196685 IVH196681:IVH196685 JFD196681:JFD196685 JOZ196681:JOZ196685 JYV196681:JYV196685 KIR196681:KIR196685 KSN196681:KSN196685 LCJ196681:LCJ196685 LMF196681:LMF196685 LWB196681:LWB196685 MFX196681:MFX196685 MPT196681:MPT196685 MZP196681:MZP196685 NJL196681:NJL196685 NTH196681:NTH196685 ODD196681:ODD196685 OMZ196681:OMZ196685 OWV196681:OWV196685 PGR196681:PGR196685 PQN196681:PQN196685 QAJ196681:QAJ196685 QKF196681:QKF196685 QUB196681:QUB196685 RDX196681:RDX196685 RNT196681:RNT196685 RXP196681:RXP196685 SHL196681:SHL196685 SRH196681:SRH196685 TBD196681:TBD196685 TKZ196681:TKZ196685 TUV196681:TUV196685 UER196681:UER196685 UON196681:UON196685 UYJ196681:UYJ196685 VIF196681:VIF196685 VSB196681:VSB196685 WBX196681:WBX196685 WLT196681:WLT196685 WVP196681:WVP196685 H262217:H262221 JD262217:JD262221 SZ262217:SZ262221 ACV262217:ACV262221 AMR262217:AMR262221 AWN262217:AWN262221 BGJ262217:BGJ262221 BQF262217:BQF262221 CAB262217:CAB262221 CJX262217:CJX262221 CTT262217:CTT262221 DDP262217:DDP262221 DNL262217:DNL262221 DXH262217:DXH262221 EHD262217:EHD262221 EQZ262217:EQZ262221 FAV262217:FAV262221 FKR262217:FKR262221 FUN262217:FUN262221 GEJ262217:GEJ262221 GOF262217:GOF262221 GYB262217:GYB262221 HHX262217:HHX262221 HRT262217:HRT262221 IBP262217:IBP262221 ILL262217:ILL262221 IVH262217:IVH262221 JFD262217:JFD262221 JOZ262217:JOZ262221 JYV262217:JYV262221 KIR262217:KIR262221 KSN262217:KSN262221 LCJ262217:LCJ262221 LMF262217:LMF262221 LWB262217:LWB262221 MFX262217:MFX262221 MPT262217:MPT262221 MZP262217:MZP262221 NJL262217:NJL262221 NTH262217:NTH262221 ODD262217:ODD262221 OMZ262217:OMZ262221 OWV262217:OWV262221 PGR262217:PGR262221 PQN262217:PQN262221 QAJ262217:QAJ262221 QKF262217:QKF262221 QUB262217:QUB262221 RDX262217:RDX262221 RNT262217:RNT262221 RXP262217:RXP262221 SHL262217:SHL262221 SRH262217:SRH262221 TBD262217:TBD262221 TKZ262217:TKZ262221 TUV262217:TUV262221 UER262217:UER262221 UON262217:UON262221 UYJ262217:UYJ262221 VIF262217:VIF262221 VSB262217:VSB262221 WBX262217:WBX262221 WLT262217:WLT262221 WVP262217:WVP262221 H327753:H327757 JD327753:JD327757 SZ327753:SZ327757 ACV327753:ACV327757 AMR327753:AMR327757 AWN327753:AWN327757 BGJ327753:BGJ327757 BQF327753:BQF327757 CAB327753:CAB327757 CJX327753:CJX327757 CTT327753:CTT327757 DDP327753:DDP327757 DNL327753:DNL327757 DXH327753:DXH327757 EHD327753:EHD327757 EQZ327753:EQZ327757 FAV327753:FAV327757 FKR327753:FKR327757 FUN327753:FUN327757 GEJ327753:GEJ327757 GOF327753:GOF327757 GYB327753:GYB327757 HHX327753:HHX327757 HRT327753:HRT327757 IBP327753:IBP327757 ILL327753:ILL327757 IVH327753:IVH327757 JFD327753:JFD327757 JOZ327753:JOZ327757 JYV327753:JYV327757 KIR327753:KIR327757 KSN327753:KSN327757 LCJ327753:LCJ327757 LMF327753:LMF327757 LWB327753:LWB327757 MFX327753:MFX327757 MPT327753:MPT327757 MZP327753:MZP327757 NJL327753:NJL327757 NTH327753:NTH327757 ODD327753:ODD327757 OMZ327753:OMZ327757 OWV327753:OWV327757 PGR327753:PGR327757 PQN327753:PQN327757 QAJ327753:QAJ327757 QKF327753:QKF327757 QUB327753:QUB327757 RDX327753:RDX327757 RNT327753:RNT327757 RXP327753:RXP327757 SHL327753:SHL327757 SRH327753:SRH327757 TBD327753:TBD327757 TKZ327753:TKZ327757 TUV327753:TUV327757 UER327753:UER327757 UON327753:UON327757 UYJ327753:UYJ327757 VIF327753:VIF327757 VSB327753:VSB327757 WBX327753:WBX327757 WLT327753:WLT327757 WVP327753:WVP327757 H393289:H393293 JD393289:JD393293 SZ393289:SZ393293 ACV393289:ACV393293 AMR393289:AMR393293 AWN393289:AWN393293 BGJ393289:BGJ393293 BQF393289:BQF393293 CAB393289:CAB393293 CJX393289:CJX393293 CTT393289:CTT393293 DDP393289:DDP393293 DNL393289:DNL393293 DXH393289:DXH393293 EHD393289:EHD393293 EQZ393289:EQZ393293 FAV393289:FAV393293 FKR393289:FKR393293 FUN393289:FUN393293 GEJ393289:GEJ393293 GOF393289:GOF393293 GYB393289:GYB393293 HHX393289:HHX393293 HRT393289:HRT393293 IBP393289:IBP393293 ILL393289:ILL393293 IVH393289:IVH393293 JFD393289:JFD393293 JOZ393289:JOZ393293 JYV393289:JYV393293 KIR393289:KIR393293 KSN393289:KSN393293 LCJ393289:LCJ393293 LMF393289:LMF393293 LWB393289:LWB393293 MFX393289:MFX393293 MPT393289:MPT393293 MZP393289:MZP393293 NJL393289:NJL393293 NTH393289:NTH393293 ODD393289:ODD393293 OMZ393289:OMZ393293 OWV393289:OWV393293 PGR393289:PGR393293 PQN393289:PQN393293 QAJ393289:QAJ393293 QKF393289:QKF393293 QUB393289:QUB393293 RDX393289:RDX393293 RNT393289:RNT393293 RXP393289:RXP393293 SHL393289:SHL393293 SRH393289:SRH393293 TBD393289:TBD393293 TKZ393289:TKZ393293 TUV393289:TUV393293 UER393289:UER393293 UON393289:UON393293 UYJ393289:UYJ393293 VIF393289:VIF393293 VSB393289:VSB393293 WBX393289:WBX393293 WLT393289:WLT393293 WVP393289:WVP393293 H458825:H458829 JD458825:JD458829 SZ458825:SZ458829 ACV458825:ACV458829 AMR458825:AMR458829 AWN458825:AWN458829 BGJ458825:BGJ458829 BQF458825:BQF458829 CAB458825:CAB458829 CJX458825:CJX458829 CTT458825:CTT458829 DDP458825:DDP458829 DNL458825:DNL458829 DXH458825:DXH458829 EHD458825:EHD458829 EQZ458825:EQZ458829 FAV458825:FAV458829 FKR458825:FKR458829 FUN458825:FUN458829 GEJ458825:GEJ458829 GOF458825:GOF458829 GYB458825:GYB458829 HHX458825:HHX458829 HRT458825:HRT458829 IBP458825:IBP458829 ILL458825:ILL458829 IVH458825:IVH458829 JFD458825:JFD458829 JOZ458825:JOZ458829 JYV458825:JYV458829 KIR458825:KIR458829 KSN458825:KSN458829 LCJ458825:LCJ458829 LMF458825:LMF458829 LWB458825:LWB458829 MFX458825:MFX458829 MPT458825:MPT458829 MZP458825:MZP458829 NJL458825:NJL458829 NTH458825:NTH458829 ODD458825:ODD458829 OMZ458825:OMZ458829 OWV458825:OWV458829 PGR458825:PGR458829 PQN458825:PQN458829 QAJ458825:QAJ458829 QKF458825:QKF458829 QUB458825:QUB458829 RDX458825:RDX458829 RNT458825:RNT458829 RXP458825:RXP458829 SHL458825:SHL458829 SRH458825:SRH458829 TBD458825:TBD458829 TKZ458825:TKZ458829 TUV458825:TUV458829 UER458825:UER458829 UON458825:UON458829 UYJ458825:UYJ458829 VIF458825:VIF458829 VSB458825:VSB458829 WBX458825:WBX458829 WLT458825:WLT458829 WVP458825:WVP458829 H524361:H524365 JD524361:JD524365 SZ524361:SZ524365 ACV524361:ACV524365 AMR524361:AMR524365 AWN524361:AWN524365 BGJ524361:BGJ524365 BQF524361:BQF524365 CAB524361:CAB524365 CJX524361:CJX524365 CTT524361:CTT524365 DDP524361:DDP524365 DNL524361:DNL524365 DXH524361:DXH524365 EHD524361:EHD524365 EQZ524361:EQZ524365 FAV524361:FAV524365 FKR524361:FKR524365 FUN524361:FUN524365 GEJ524361:GEJ524365 GOF524361:GOF524365 GYB524361:GYB524365 HHX524361:HHX524365 HRT524361:HRT524365 IBP524361:IBP524365 ILL524361:ILL524365 IVH524361:IVH524365 JFD524361:JFD524365 JOZ524361:JOZ524365 JYV524361:JYV524365 KIR524361:KIR524365 KSN524361:KSN524365 LCJ524361:LCJ524365 LMF524361:LMF524365 LWB524361:LWB524365 MFX524361:MFX524365 MPT524361:MPT524365 MZP524361:MZP524365 NJL524361:NJL524365 NTH524361:NTH524365 ODD524361:ODD524365 OMZ524361:OMZ524365 OWV524361:OWV524365 PGR524361:PGR524365 PQN524361:PQN524365 QAJ524361:QAJ524365 QKF524361:QKF524365 QUB524361:QUB524365 RDX524361:RDX524365 RNT524361:RNT524365 RXP524361:RXP524365 SHL524361:SHL524365 SRH524361:SRH524365 TBD524361:TBD524365 TKZ524361:TKZ524365 TUV524361:TUV524365 UER524361:UER524365 UON524361:UON524365 UYJ524361:UYJ524365 VIF524361:VIF524365 VSB524361:VSB524365 WBX524361:WBX524365 WLT524361:WLT524365 WVP524361:WVP524365 H589897:H589901 JD589897:JD589901 SZ589897:SZ589901 ACV589897:ACV589901 AMR589897:AMR589901 AWN589897:AWN589901 BGJ589897:BGJ589901 BQF589897:BQF589901 CAB589897:CAB589901 CJX589897:CJX589901 CTT589897:CTT589901 DDP589897:DDP589901 DNL589897:DNL589901 DXH589897:DXH589901 EHD589897:EHD589901 EQZ589897:EQZ589901 FAV589897:FAV589901 FKR589897:FKR589901 FUN589897:FUN589901 GEJ589897:GEJ589901 GOF589897:GOF589901 GYB589897:GYB589901 HHX589897:HHX589901 HRT589897:HRT589901 IBP589897:IBP589901 ILL589897:ILL589901 IVH589897:IVH589901 JFD589897:JFD589901 JOZ589897:JOZ589901 JYV589897:JYV589901 KIR589897:KIR589901 KSN589897:KSN589901 LCJ589897:LCJ589901 LMF589897:LMF589901 LWB589897:LWB589901 MFX589897:MFX589901 MPT589897:MPT589901 MZP589897:MZP589901 NJL589897:NJL589901 NTH589897:NTH589901 ODD589897:ODD589901 OMZ589897:OMZ589901 OWV589897:OWV589901 PGR589897:PGR589901 PQN589897:PQN589901 QAJ589897:QAJ589901 QKF589897:QKF589901 QUB589897:QUB589901 RDX589897:RDX589901 RNT589897:RNT589901 RXP589897:RXP589901 SHL589897:SHL589901 SRH589897:SRH589901 TBD589897:TBD589901 TKZ589897:TKZ589901 TUV589897:TUV589901 UER589897:UER589901 UON589897:UON589901 UYJ589897:UYJ589901 VIF589897:VIF589901 VSB589897:VSB589901 WBX589897:WBX589901 WLT589897:WLT589901 WVP589897:WVP589901 H655433:H655437 JD655433:JD655437 SZ655433:SZ655437 ACV655433:ACV655437 AMR655433:AMR655437 AWN655433:AWN655437 BGJ655433:BGJ655437 BQF655433:BQF655437 CAB655433:CAB655437 CJX655433:CJX655437 CTT655433:CTT655437 DDP655433:DDP655437 DNL655433:DNL655437 DXH655433:DXH655437 EHD655433:EHD655437 EQZ655433:EQZ655437 FAV655433:FAV655437 FKR655433:FKR655437 FUN655433:FUN655437 GEJ655433:GEJ655437 GOF655433:GOF655437 GYB655433:GYB655437 HHX655433:HHX655437 HRT655433:HRT655437 IBP655433:IBP655437 ILL655433:ILL655437 IVH655433:IVH655437 JFD655433:JFD655437 JOZ655433:JOZ655437 JYV655433:JYV655437 KIR655433:KIR655437 KSN655433:KSN655437 LCJ655433:LCJ655437 LMF655433:LMF655437 LWB655433:LWB655437 MFX655433:MFX655437 MPT655433:MPT655437 MZP655433:MZP655437 NJL655433:NJL655437 NTH655433:NTH655437 ODD655433:ODD655437 OMZ655433:OMZ655437 OWV655433:OWV655437 PGR655433:PGR655437 PQN655433:PQN655437 QAJ655433:QAJ655437 QKF655433:QKF655437 QUB655433:QUB655437 RDX655433:RDX655437 RNT655433:RNT655437 RXP655433:RXP655437 SHL655433:SHL655437 SRH655433:SRH655437 TBD655433:TBD655437 TKZ655433:TKZ655437 TUV655433:TUV655437 UER655433:UER655437 UON655433:UON655437 UYJ655433:UYJ655437 VIF655433:VIF655437 VSB655433:VSB655437 WBX655433:WBX655437 WLT655433:WLT655437 WVP655433:WVP655437 H720969:H720973 JD720969:JD720973 SZ720969:SZ720973 ACV720969:ACV720973 AMR720969:AMR720973 AWN720969:AWN720973 BGJ720969:BGJ720973 BQF720969:BQF720973 CAB720969:CAB720973 CJX720969:CJX720973 CTT720969:CTT720973 DDP720969:DDP720973 DNL720969:DNL720973 DXH720969:DXH720973 EHD720969:EHD720973 EQZ720969:EQZ720973 FAV720969:FAV720973 FKR720969:FKR720973 FUN720969:FUN720973 GEJ720969:GEJ720973 GOF720969:GOF720973 GYB720969:GYB720973 HHX720969:HHX720973 HRT720969:HRT720973 IBP720969:IBP720973 ILL720969:ILL720973 IVH720969:IVH720973 JFD720969:JFD720973 JOZ720969:JOZ720973 JYV720969:JYV720973 KIR720969:KIR720973 KSN720969:KSN720973 LCJ720969:LCJ720973 LMF720969:LMF720973 LWB720969:LWB720973 MFX720969:MFX720973 MPT720969:MPT720973 MZP720969:MZP720973 NJL720969:NJL720973 NTH720969:NTH720973 ODD720969:ODD720973 OMZ720969:OMZ720973 OWV720969:OWV720973 PGR720969:PGR720973 PQN720969:PQN720973 QAJ720969:QAJ720973 QKF720969:QKF720973 QUB720969:QUB720973 RDX720969:RDX720973 RNT720969:RNT720973 RXP720969:RXP720973 SHL720969:SHL720973 SRH720969:SRH720973 TBD720969:TBD720973 TKZ720969:TKZ720973 TUV720969:TUV720973 UER720969:UER720973 UON720969:UON720973 UYJ720969:UYJ720973 VIF720969:VIF720973 VSB720969:VSB720973 WBX720969:WBX720973 WLT720969:WLT720973 WVP720969:WVP720973 H786505:H786509 JD786505:JD786509 SZ786505:SZ786509 ACV786505:ACV786509 AMR786505:AMR786509 AWN786505:AWN786509 BGJ786505:BGJ786509 BQF786505:BQF786509 CAB786505:CAB786509 CJX786505:CJX786509 CTT786505:CTT786509 DDP786505:DDP786509 DNL786505:DNL786509 DXH786505:DXH786509 EHD786505:EHD786509 EQZ786505:EQZ786509 FAV786505:FAV786509 FKR786505:FKR786509 FUN786505:FUN786509 GEJ786505:GEJ786509 GOF786505:GOF786509 GYB786505:GYB786509 HHX786505:HHX786509 HRT786505:HRT786509 IBP786505:IBP786509 ILL786505:ILL786509 IVH786505:IVH786509 JFD786505:JFD786509 JOZ786505:JOZ786509 JYV786505:JYV786509 KIR786505:KIR786509 KSN786505:KSN786509 LCJ786505:LCJ786509 LMF786505:LMF786509 LWB786505:LWB786509 MFX786505:MFX786509 MPT786505:MPT786509 MZP786505:MZP786509 NJL786505:NJL786509 NTH786505:NTH786509 ODD786505:ODD786509 OMZ786505:OMZ786509 OWV786505:OWV786509 PGR786505:PGR786509 PQN786505:PQN786509 QAJ786505:QAJ786509 QKF786505:QKF786509 QUB786505:QUB786509 RDX786505:RDX786509 RNT786505:RNT786509 RXP786505:RXP786509 SHL786505:SHL786509 SRH786505:SRH786509 TBD786505:TBD786509 TKZ786505:TKZ786509 TUV786505:TUV786509 UER786505:UER786509 UON786505:UON786509 UYJ786505:UYJ786509 VIF786505:VIF786509 VSB786505:VSB786509 WBX786505:WBX786509 WLT786505:WLT786509 WVP786505:WVP786509 H852041:H852045 JD852041:JD852045 SZ852041:SZ852045 ACV852041:ACV852045 AMR852041:AMR852045 AWN852041:AWN852045 BGJ852041:BGJ852045 BQF852041:BQF852045 CAB852041:CAB852045 CJX852041:CJX852045 CTT852041:CTT852045 DDP852041:DDP852045 DNL852041:DNL852045 DXH852041:DXH852045 EHD852041:EHD852045 EQZ852041:EQZ852045 FAV852041:FAV852045 FKR852041:FKR852045 FUN852041:FUN852045 GEJ852041:GEJ852045 GOF852041:GOF852045 GYB852041:GYB852045 HHX852041:HHX852045 HRT852041:HRT852045 IBP852041:IBP852045 ILL852041:ILL852045 IVH852041:IVH852045 JFD852041:JFD852045 JOZ852041:JOZ852045 JYV852041:JYV852045 KIR852041:KIR852045 KSN852041:KSN852045 LCJ852041:LCJ852045 LMF852041:LMF852045 LWB852041:LWB852045 MFX852041:MFX852045 MPT852041:MPT852045 MZP852041:MZP852045 NJL852041:NJL852045 NTH852041:NTH852045 ODD852041:ODD852045 OMZ852041:OMZ852045 OWV852041:OWV852045 PGR852041:PGR852045 PQN852041:PQN852045 QAJ852041:QAJ852045 QKF852041:QKF852045 QUB852041:QUB852045 RDX852041:RDX852045 RNT852041:RNT852045 RXP852041:RXP852045 SHL852041:SHL852045 SRH852041:SRH852045 TBD852041:TBD852045 TKZ852041:TKZ852045 TUV852041:TUV852045 UER852041:UER852045 UON852041:UON852045 UYJ852041:UYJ852045 VIF852041:VIF852045 VSB852041:VSB852045 WBX852041:WBX852045 WLT852041:WLT852045 WVP852041:WVP852045 H917577:H917581 JD917577:JD917581 SZ917577:SZ917581 ACV917577:ACV917581 AMR917577:AMR917581 AWN917577:AWN917581 BGJ917577:BGJ917581 BQF917577:BQF917581 CAB917577:CAB917581 CJX917577:CJX917581 CTT917577:CTT917581 DDP917577:DDP917581 DNL917577:DNL917581 DXH917577:DXH917581 EHD917577:EHD917581 EQZ917577:EQZ917581 FAV917577:FAV917581 FKR917577:FKR917581 FUN917577:FUN917581 GEJ917577:GEJ917581 GOF917577:GOF917581 GYB917577:GYB917581 HHX917577:HHX917581 HRT917577:HRT917581 IBP917577:IBP917581 ILL917577:ILL917581 IVH917577:IVH917581 JFD917577:JFD917581 JOZ917577:JOZ917581 JYV917577:JYV917581 KIR917577:KIR917581 KSN917577:KSN917581 LCJ917577:LCJ917581 LMF917577:LMF917581 LWB917577:LWB917581 MFX917577:MFX917581 MPT917577:MPT917581 MZP917577:MZP917581 NJL917577:NJL917581 NTH917577:NTH917581 ODD917577:ODD917581 OMZ917577:OMZ917581 OWV917577:OWV917581 PGR917577:PGR917581 PQN917577:PQN917581 QAJ917577:QAJ917581 QKF917577:QKF917581 QUB917577:QUB917581 RDX917577:RDX917581 RNT917577:RNT917581 RXP917577:RXP917581 SHL917577:SHL917581 SRH917577:SRH917581 TBD917577:TBD917581 TKZ917577:TKZ917581 TUV917577:TUV917581 UER917577:UER917581 UON917577:UON917581 UYJ917577:UYJ917581 VIF917577:VIF917581 VSB917577:VSB917581 WBX917577:WBX917581 WLT917577:WLT917581 WVP917577:WVP917581 H983113:H983117 JD983113:JD983117 SZ983113:SZ983117 ACV983113:ACV983117 AMR983113:AMR983117 AWN983113:AWN983117 BGJ983113:BGJ983117 BQF983113:BQF983117 CAB983113:CAB983117 CJX983113:CJX983117 CTT983113:CTT983117 DDP983113:DDP983117 DNL983113:DNL983117 DXH983113:DXH983117 EHD983113:EHD983117 EQZ983113:EQZ983117 FAV983113:FAV983117 FKR983113:FKR983117 FUN983113:FUN983117 GEJ983113:GEJ983117 GOF983113:GOF983117 GYB983113:GYB983117 HHX983113:HHX983117 HRT983113:HRT983117 IBP983113:IBP983117 ILL983113:ILL983117 IVH983113:IVH983117 JFD983113:JFD983117 JOZ983113:JOZ983117 JYV983113:JYV983117 KIR983113:KIR983117 KSN983113:KSN983117 LCJ983113:LCJ983117 LMF983113:LMF983117 LWB983113:LWB983117 MFX983113:MFX983117 MPT983113:MPT983117 MZP983113:MZP983117 NJL983113:NJL983117 NTH983113:NTH983117 ODD983113:ODD983117 OMZ983113:OMZ983117 OWV983113:OWV983117 PGR983113:PGR983117 PQN983113:PQN983117 QAJ983113:QAJ983117 QKF983113:QKF983117 QUB983113:QUB983117 RDX983113:RDX983117 RNT983113:RNT983117 RXP983113:RXP983117 SHL983113:SHL983117 SRH983113:SRH983117 TBD983113:TBD983117 TKZ983113:TKZ983117 TUV983113:TUV983117 UER983113:UER983117 UON983113:UON983117 UYJ983113:UYJ983117 VIF983113:VIF983117 VSB983113:VSB983117 WBX983113:WBX983117 WLT983113:WLT983117 WVP983113:WVP983117 TUV983084:TUV983087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H65604 JD65604 SZ65604 ACV65604 AMR65604 AWN65604 BGJ65604 BQF65604 CAB65604 CJX65604 CTT65604 DDP65604 DNL65604 DXH65604 EHD65604 EQZ65604 FAV65604 FKR65604 FUN65604 GEJ65604 GOF65604 GYB65604 HHX65604 HRT65604 IBP65604 ILL65604 IVH65604 JFD65604 JOZ65604 JYV65604 KIR65604 KSN65604 LCJ65604 LMF65604 LWB65604 MFX65604 MPT65604 MZP65604 NJL65604 NTH65604 ODD65604 OMZ65604 OWV65604 PGR65604 PQN65604 QAJ65604 QKF65604 QUB65604 RDX65604 RNT65604 RXP65604 SHL65604 SRH65604 TBD65604 TKZ65604 TUV65604 UER65604 UON65604 UYJ65604 VIF65604 VSB65604 WBX65604 WLT65604 WVP65604 H131140 JD131140 SZ131140 ACV131140 AMR131140 AWN131140 BGJ131140 BQF131140 CAB131140 CJX131140 CTT131140 DDP131140 DNL131140 DXH131140 EHD131140 EQZ131140 FAV131140 FKR131140 FUN131140 GEJ131140 GOF131140 GYB131140 HHX131140 HRT131140 IBP131140 ILL131140 IVH131140 JFD131140 JOZ131140 JYV131140 KIR131140 KSN131140 LCJ131140 LMF131140 LWB131140 MFX131140 MPT131140 MZP131140 NJL131140 NTH131140 ODD131140 OMZ131140 OWV131140 PGR131140 PQN131140 QAJ131140 QKF131140 QUB131140 RDX131140 RNT131140 RXP131140 SHL131140 SRH131140 TBD131140 TKZ131140 TUV131140 UER131140 UON131140 UYJ131140 VIF131140 VSB131140 WBX131140 WLT131140 WVP131140 H196676 JD196676 SZ196676 ACV196676 AMR196676 AWN196676 BGJ196676 BQF196676 CAB196676 CJX196676 CTT196676 DDP196676 DNL196676 DXH196676 EHD196676 EQZ196676 FAV196676 FKR196676 FUN196676 GEJ196676 GOF196676 GYB196676 HHX196676 HRT196676 IBP196676 ILL196676 IVH196676 JFD196676 JOZ196676 JYV196676 KIR196676 KSN196676 LCJ196676 LMF196676 LWB196676 MFX196676 MPT196676 MZP196676 NJL196676 NTH196676 ODD196676 OMZ196676 OWV196676 PGR196676 PQN196676 QAJ196676 QKF196676 QUB196676 RDX196676 RNT196676 RXP196676 SHL196676 SRH196676 TBD196676 TKZ196676 TUV196676 UER196676 UON196676 UYJ196676 VIF196676 VSB196676 WBX196676 WLT196676 WVP196676 H262212 JD262212 SZ262212 ACV262212 AMR262212 AWN262212 BGJ262212 BQF262212 CAB262212 CJX262212 CTT262212 DDP262212 DNL262212 DXH262212 EHD262212 EQZ262212 FAV262212 FKR262212 FUN262212 GEJ262212 GOF262212 GYB262212 HHX262212 HRT262212 IBP262212 ILL262212 IVH262212 JFD262212 JOZ262212 JYV262212 KIR262212 KSN262212 LCJ262212 LMF262212 LWB262212 MFX262212 MPT262212 MZP262212 NJL262212 NTH262212 ODD262212 OMZ262212 OWV262212 PGR262212 PQN262212 QAJ262212 QKF262212 QUB262212 RDX262212 RNT262212 RXP262212 SHL262212 SRH262212 TBD262212 TKZ262212 TUV262212 UER262212 UON262212 UYJ262212 VIF262212 VSB262212 WBX262212 WLT262212 WVP262212 H327748 JD327748 SZ327748 ACV327748 AMR327748 AWN327748 BGJ327748 BQF327748 CAB327748 CJX327748 CTT327748 DDP327748 DNL327748 DXH327748 EHD327748 EQZ327748 FAV327748 FKR327748 FUN327748 GEJ327748 GOF327748 GYB327748 HHX327748 HRT327748 IBP327748 ILL327748 IVH327748 JFD327748 JOZ327748 JYV327748 KIR327748 KSN327748 LCJ327748 LMF327748 LWB327748 MFX327748 MPT327748 MZP327748 NJL327748 NTH327748 ODD327748 OMZ327748 OWV327748 PGR327748 PQN327748 QAJ327748 QKF327748 QUB327748 RDX327748 RNT327748 RXP327748 SHL327748 SRH327748 TBD327748 TKZ327748 TUV327748 UER327748 UON327748 UYJ327748 VIF327748 VSB327748 WBX327748 WLT327748 WVP327748 H393284 JD393284 SZ393284 ACV393284 AMR393284 AWN393284 BGJ393284 BQF393284 CAB393284 CJX393284 CTT393284 DDP393284 DNL393284 DXH393284 EHD393284 EQZ393284 FAV393284 FKR393284 FUN393284 GEJ393284 GOF393284 GYB393284 HHX393284 HRT393284 IBP393284 ILL393284 IVH393284 JFD393284 JOZ393284 JYV393284 KIR393284 KSN393284 LCJ393284 LMF393284 LWB393284 MFX393284 MPT393284 MZP393284 NJL393284 NTH393284 ODD393284 OMZ393284 OWV393284 PGR393284 PQN393284 QAJ393284 QKF393284 QUB393284 RDX393284 RNT393284 RXP393284 SHL393284 SRH393284 TBD393284 TKZ393284 TUV393284 UER393284 UON393284 UYJ393284 VIF393284 VSB393284 WBX393284 WLT393284 WVP393284 H458820 JD458820 SZ458820 ACV458820 AMR458820 AWN458820 BGJ458820 BQF458820 CAB458820 CJX458820 CTT458820 DDP458820 DNL458820 DXH458820 EHD458820 EQZ458820 FAV458820 FKR458820 FUN458820 GEJ458820 GOF458820 GYB458820 HHX458820 HRT458820 IBP458820 ILL458820 IVH458820 JFD458820 JOZ458820 JYV458820 KIR458820 KSN458820 LCJ458820 LMF458820 LWB458820 MFX458820 MPT458820 MZP458820 NJL458820 NTH458820 ODD458820 OMZ458820 OWV458820 PGR458820 PQN458820 QAJ458820 QKF458820 QUB458820 RDX458820 RNT458820 RXP458820 SHL458820 SRH458820 TBD458820 TKZ458820 TUV458820 UER458820 UON458820 UYJ458820 VIF458820 VSB458820 WBX458820 WLT458820 WVP458820 H524356 JD524356 SZ524356 ACV524356 AMR524356 AWN524356 BGJ524356 BQF524356 CAB524356 CJX524356 CTT524356 DDP524356 DNL524356 DXH524356 EHD524356 EQZ524356 FAV524356 FKR524356 FUN524356 GEJ524356 GOF524356 GYB524356 HHX524356 HRT524356 IBP524356 ILL524356 IVH524356 JFD524356 JOZ524356 JYV524356 KIR524356 KSN524356 LCJ524356 LMF524356 LWB524356 MFX524356 MPT524356 MZP524356 NJL524356 NTH524356 ODD524356 OMZ524356 OWV524356 PGR524356 PQN524356 QAJ524356 QKF524356 QUB524356 RDX524356 RNT524356 RXP524356 SHL524356 SRH524356 TBD524356 TKZ524356 TUV524356 UER524356 UON524356 UYJ524356 VIF524356 VSB524356 WBX524356 WLT524356 WVP524356 H589892 JD589892 SZ589892 ACV589892 AMR589892 AWN589892 BGJ589892 BQF589892 CAB589892 CJX589892 CTT589892 DDP589892 DNL589892 DXH589892 EHD589892 EQZ589892 FAV589892 FKR589892 FUN589892 GEJ589892 GOF589892 GYB589892 HHX589892 HRT589892 IBP589892 ILL589892 IVH589892 JFD589892 JOZ589892 JYV589892 KIR589892 KSN589892 LCJ589892 LMF589892 LWB589892 MFX589892 MPT589892 MZP589892 NJL589892 NTH589892 ODD589892 OMZ589892 OWV589892 PGR589892 PQN589892 QAJ589892 QKF589892 QUB589892 RDX589892 RNT589892 RXP589892 SHL589892 SRH589892 TBD589892 TKZ589892 TUV589892 UER589892 UON589892 UYJ589892 VIF589892 VSB589892 WBX589892 WLT589892 WVP589892 H655428 JD655428 SZ655428 ACV655428 AMR655428 AWN655428 BGJ655428 BQF655428 CAB655428 CJX655428 CTT655428 DDP655428 DNL655428 DXH655428 EHD655428 EQZ655428 FAV655428 FKR655428 FUN655428 GEJ655428 GOF655428 GYB655428 HHX655428 HRT655428 IBP655428 ILL655428 IVH655428 JFD655428 JOZ655428 JYV655428 KIR655428 KSN655428 LCJ655428 LMF655428 LWB655428 MFX655428 MPT655428 MZP655428 NJL655428 NTH655428 ODD655428 OMZ655428 OWV655428 PGR655428 PQN655428 QAJ655428 QKF655428 QUB655428 RDX655428 RNT655428 RXP655428 SHL655428 SRH655428 TBD655428 TKZ655428 TUV655428 UER655428 UON655428 UYJ655428 VIF655428 VSB655428 WBX655428 WLT655428 WVP655428 H720964 JD720964 SZ720964 ACV720964 AMR720964 AWN720964 BGJ720964 BQF720964 CAB720964 CJX720964 CTT720964 DDP720964 DNL720964 DXH720964 EHD720964 EQZ720964 FAV720964 FKR720964 FUN720964 GEJ720964 GOF720964 GYB720964 HHX720964 HRT720964 IBP720964 ILL720964 IVH720964 JFD720964 JOZ720964 JYV720964 KIR720964 KSN720964 LCJ720964 LMF720964 LWB720964 MFX720964 MPT720964 MZP720964 NJL720964 NTH720964 ODD720964 OMZ720964 OWV720964 PGR720964 PQN720964 QAJ720964 QKF720964 QUB720964 RDX720964 RNT720964 RXP720964 SHL720964 SRH720964 TBD720964 TKZ720964 TUV720964 UER720964 UON720964 UYJ720964 VIF720964 VSB720964 WBX720964 WLT720964 WVP720964 H786500 JD786500 SZ786500 ACV786500 AMR786500 AWN786500 BGJ786500 BQF786500 CAB786500 CJX786500 CTT786500 DDP786500 DNL786500 DXH786500 EHD786500 EQZ786500 FAV786500 FKR786500 FUN786500 GEJ786500 GOF786500 GYB786500 HHX786500 HRT786500 IBP786500 ILL786500 IVH786500 JFD786500 JOZ786500 JYV786500 KIR786500 KSN786500 LCJ786500 LMF786500 LWB786500 MFX786500 MPT786500 MZP786500 NJL786500 NTH786500 ODD786500 OMZ786500 OWV786500 PGR786500 PQN786500 QAJ786500 QKF786500 QUB786500 RDX786500 RNT786500 RXP786500 SHL786500 SRH786500 TBD786500 TKZ786500 TUV786500 UER786500 UON786500 UYJ786500 VIF786500 VSB786500 WBX786500 WLT786500 WVP786500 H852036 JD852036 SZ852036 ACV852036 AMR852036 AWN852036 BGJ852036 BQF852036 CAB852036 CJX852036 CTT852036 DDP852036 DNL852036 DXH852036 EHD852036 EQZ852036 FAV852036 FKR852036 FUN852036 GEJ852036 GOF852036 GYB852036 HHX852036 HRT852036 IBP852036 ILL852036 IVH852036 JFD852036 JOZ852036 JYV852036 KIR852036 KSN852036 LCJ852036 LMF852036 LWB852036 MFX852036 MPT852036 MZP852036 NJL852036 NTH852036 ODD852036 OMZ852036 OWV852036 PGR852036 PQN852036 QAJ852036 QKF852036 QUB852036 RDX852036 RNT852036 RXP852036 SHL852036 SRH852036 TBD852036 TKZ852036 TUV852036 UER852036 UON852036 UYJ852036 VIF852036 VSB852036 WBX852036 WLT852036 WVP852036 H917572 JD917572 SZ917572 ACV917572 AMR917572 AWN917572 BGJ917572 BQF917572 CAB917572 CJX917572 CTT917572 DDP917572 DNL917572 DXH917572 EHD917572 EQZ917572 FAV917572 FKR917572 FUN917572 GEJ917572 GOF917572 GYB917572 HHX917572 HRT917572 IBP917572 ILL917572 IVH917572 JFD917572 JOZ917572 JYV917572 KIR917572 KSN917572 LCJ917572 LMF917572 LWB917572 MFX917572 MPT917572 MZP917572 NJL917572 NTH917572 ODD917572 OMZ917572 OWV917572 PGR917572 PQN917572 QAJ917572 QKF917572 QUB917572 RDX917572 RNT917572 RXP917572 SHL917572 SRH917572 TBD917572 TKZ917572 TUV917572 UER917572 UON917572 UYJ917572 VIF917572 VSB917572 WBX917572 WLT917572 WVP917572 H983108 JD983108 SZ983108 ACV983108 AMR983108 AWN983108 BGJ983108 BQF983108 CAB983108 CJX983108 CTT983108 DDP983108 DNL983108 DXH983108 EHD983108 EQZ983108 FAV983108 FKR983108 FUN983108 GEJ983108 GOF983108 GYB983108 HHX983108 HRT983108 IBP983108 ILL983108 IVH983108 JFD983108 JOZ983108 JYV983108 KIR983108 KSN983108 LCJ983108 LMF983108 LWB983108 MFX983108 MPT983108 MZP983108 NJL983108 NTH983108 ODD983108 OMZ983108 OWV983108 PGR983108 PQN983108 QAJ983108 QKF983108 QUB983108 RDX983108 RNT983108 RXP983108 SHL983108 SRH983108 TBD983108 TKZ983108 TUV983108 UER983108 UON983108 UYJ983108 VIF983108 VSB983108 WBX983108 WLT983108 WVP983108 UON983084:UON983087 JJ56:JJ58 TF56:TF58 ADB56:ADB58 AMX56:AMX58 AWT56:AWT58 BGP56:BGP58 BQL56:BQL58 CAH56:CAH58 CKD56:CKD58 CTZ56:CTZ58 DDV56:DDV58 DNR56:DNR58 DXN56:DXN58 EHJ56:EHJ58 ERF56:ERF58 FBB56:FBB58 FKX56:FKX58 FUT56:FUT58 GEP56:GEP58 GOL56:GOL58 GYH56:GYH58 HID56:HID58 HRZ56:HRZ58 IBV56:IBV58 ILR56:ILR58 IVN56:IVN58 JFJ56:JFJ58 JPF56:JPF58 JZB56:JZB58 KIX56:KIX58 KST56:KST58 LCP56:LCP58 LML56:LML58 LWH56:LWH58 MGD56:MGD58 MPZ56:MPZ58 MZV56:MZV58 NJR56:NJR58 NTN56:NTN58 ODJ56:ODJ58 ONF56:ONF58 OXB56:OXB58 PGX56:PGX58 PQT56:PQT58 QAP56:QAP58 QKL56:QKL58 QUH56:QUH58 RED56:RED58 RNZ56:RNZ58 RXV56:RXV58 SHR56:SHR58 SRN56:SRN58 TBJ56:TBJ58 TLF56:TLF58 TVB56:TVB58 UEX56:UEX58 UOT56:UOT58 UYP56:UYP58 VIL56:VIL58 VSH56:VSH58 WCD56:WCD58 WLZ56:WLZ58 WVV56:WVV58 N65597:N65599 JJ65597:JJ65599 TF65597:TF65599 ADB65597:ADB65599 AMX65597:AMX65599 AWT65597:AWT65599 BGP65597:BGP65599 BQL65597:BQL65599 CAH65597:CAH65599 CKD65597:CKD65599 CTZ65597:CTZ65599 DDV65597:DDV65599 DNR65597:DNR65599 DXN65597:DXN65599 EHJ65597:EHJ65599 ERF65597:ERF65599 FBB65597:FBB65599 FKX65597:FKX65599 FUT65597:FUT65599 GEP65597:GEP65599 GOL65597:GOL65599 GYH65597:GYH65599 HID65597:HID65599 HRZ65597:HRZ65599 IBV65597:IBV65599 ILR65597:ILR65599 IVN65597:IVN65599 JFJ65597:JFJ65599 JPF65597:JPF65599 JZB65597:JZB65599 KIX65597:KIX65599 KST65597:KST65599 LCP65597:LCP65599 LML65597:LML65599 LWH65597:LWH65599 MGD65597:MGD65599 MPZ65597:MPZ65599 MZV65597:MZV65599 NJR65597:NJR65599 NTN65597:NTN65599 ODJ65597:ODJ65599 ONF65597:ONF65599 OXB65597:OXB65599 PGX65597:PGX65599 PQT65597:PQT65599 QAP65597:QAP65599 QKL65597:QKL65599 QUH65597:QUH65599 RED65597:RED65599 RNZ65597:RNZ65599 RXV65597:RXV65599 SHR65597:SHR65599 SRN65597:SRN65599 TBJ65597:TBJ65599 TLF65597:TLF65599 TVB65597:TVB65599 UEX65597:UEX65599 UOT65597:UOT65599 UYP65597:UYP65599 VIL65597:VIL65599 VSH65597:VSH65599 WCD65597:WCD65599 WLZ65597:WLZ65599 WVV65597:WVV65599 N131133:N131135 JJ131133:JJ131135 TF131133:TF131135 ADB131133:ADB131135 AMX131133:AMX131135 AWT131133:AWT131135 BGP131133:BGP131135 BQL131133:BQL131135 CAH131133:CAH131135 CKD131133:CKD131135 CTZ131133:CTZ131135 DDV131133:DDV131135 DNR131133:DNR131135 DXN131133:DXN131135 EHJ131133:EHJ131135 ERF131133:ERF131135 FBB131133:FBB131135 FKX131133:FKX131135 FUT131133:FUT131135 GEP131133:GEP131135 GOL131133:GOL131135 GYH131133:GYH131135 HID131133:HID131135 HRZ131133:HRZ131135 IBV131133:IBV131135 ILR131133:ILR131135 IVN131133:IVN131135 JFJ131133:JFJ131135 JPF131133:JPF131135 JZB131133:JZB131135 KIX131133:KIX131135 KST131133:KST131135 LCP131133:LCP131135 LML131133:LML131135 LWH131133:LWH131135 MGD131133:MGD131135 MPZ131133:MPZ131135 MZV131133:MZV131135 NJR131133:NJR131135 NTN131133:NTN131135 ODJ131133:ODJ131135 ONF131133:ONF131135 OXB131133:OXB131135 PGX131133:PGX131135 PQT131133:PQT131135 QAP131133:QAP131135 QKL131133:QKL131135 QUH131133:QUH131135 RED131133:RED131135 RNZ131133:RNZ131135 RXV131133:RXV131135 SHR131133:SHR131135 SRN131133:SRN131135 TBJ131133:TBJ131135 TLF131133:TLF131135 TVB131133:TVB131135 UEX131133:UEX131135 UOT131133:UOT131135 UYP131133:UYP131135 VIL131133:VIL131135 VSH131133:VSH131135 WCD131133:WCD131135 WLZ131133:WLZ131135 WVV131133:WVV131135 N196669:N196671 JJ196669:JJ196671 TF196669:TF196671 ADB196669:ADB196671 AMX196669:AMX196671 AWT196669:AWT196671 BGP196669:BGP196671 BQL196669:BQL196671 CAH196669:CAH196671 CKD196669:CKD196671 CTZ196669:CTZ196671 DDV196669:DDV196671 DNR196669:DNR196671 DXN196669:DXN196671 EHJ196669:EHJ196671 ERF196669:ERF196671 FBB196669:FBB196671 FKX196669:FKX196671 FUT196669:FUT196671 GEP196669:GEP196671 GOL196669:GOL196671 GYH196669:GYH196671 HID196669:HID196671 HRZ196669:HRZ196671 IBV196669:IBV196671 ILR196669:ILR196671 IVN196669:IVN196671 JFJ196669:JFJ196671 JPF196669:JPF196671 JZB196669:JZB196671 KIX196669:KIX196671 KST196669:KST196671 LCP196669:LCP196671 LML196669:LML196671 LWH196669:LWH196671 MGD196669:MGD196671 MPZ196669:MPZ196671 MZV196669:MZV196671 NJR196669:NJR196671 NTN196669:NTN196671 ODJ196669:ODJ196671 ONF196669:ONF196671 OXB196669:OXB196671 PGX196669:PGX196671 PQT196669:PQT196671 QAP196669:QAP196671 QKL196669:QKL196671 QUH196669:QUH196671 RED196669:RED196671 RNZ196669:RNZ196671 RXV196669:RXV196671 SHR196669:SHR196671 SRN196669:SRN196671 TBJ196669:TBJ196671 TLF196669:TLF196671 TVB196669:TVB196671 UEX196669:UEX196671 UOT196669:UOT196671 UYP196669:UYP196671 VIL196669:VIL196671 VSH196669:VSH196671 WCD196669:WCD196671 WLZ196669:WLZ196671 WVV196669:WVV196671 N262205:N262207 JJ262205:JJ262207 TF262205:TF262207 ADB262205:ADB262207 AMX262205:AMX262207 AWT262205:AWT262207 BGP262205:BGP262207 BQL262205:BQL262207 CAH262205:CAH262207 CKD262205:CKD262207 CTZ262205:CTZ262207 DDV262205:DDV262207 DNR262205:DNR262207 DXN262205:DXN262207 EHJ262205:EHJ262207 ERF262205:ERF262207 FBB262205:FBB262207 FKX262205:FKX262207 FUT262205:FUT262207 GEP262205:GEP262207 GOL262205:GOL262207 GYH262205:GYH262207 HID262205:HID262207 HRZ262205:HRZ262207 IBV262205:IBV262207 ILR262205:ILR262207 IVN262205:IVN262207 JFJ262205:JFJ262207 JPF262205:JPF262207 JZB262205:JZB262207 KIX262205:KIX262207 KST262205:KST262207 LCP262205:LCP262207 LML262205:LML262207 LWH262205:LWH262207 MGD262205:MGD262207 MPZ262205:MPZ262207 MZV262205:MZV262207 NJR262205:NJR262207 NTN262205:NTN262207 ODJ262205:ODJ262207 ONF262205:ONF262207 OXB262205:OXB262207 PGX262205:PGX262207 PQT262205:PQT262207 QAP262205:QAP262207 QKL262205:QKL262207 QUH262205:QUH262207 RED262205:RED262207 RNZ262205:RNZ262207 RXV262205:RXV262207 SHR262205:SHR262207 SRN262205:SRN262207 TBJ262205:TBJ262207 TLF262205:TLF262207 TVB262205:TVB262207 UEX262205:UEX262207 UOT262205:UOT262207 UYP262205:UYP262207 VIL262205:VIL262207 VSH262205:VSH262207 WCD262205:WCD262207 WLZ262205:WLZ262207 WVV262205:WVV262207 N327741:N327743 JJ327741:JJ327743 TF327741:TF327743 ADB327741:ADB327743 AMX327741:AMX327743 AWT327741:AWT327743 BGP327741:BGP327743 BQL327741:BQL327743 CAH327741:CAH327743 CKD327741:CKD327743 CTZ327741:CTZ327743 DDV327741:DDV327743 DNR327741:DNR327743 DXN327741:DXN327743 EHJ327741:EHJ327743 ERF327741:ERF327743 FBB327741:FBB327743 FKX327741:FKX327743 FUT327741:FUT327743 GEP327741:GEP327743 GOL327741:GOL327743 GYH327741:GYH327743 HID327741:HID327743 HRZ327741:HRZ327743 IBV327741:IBV327743 ILR327741:ILR327743 IVN327741:IVN327743 JFJ327741:JFJ327743 JPF327741:JPF327743 JZB327741:JZB327743 KIX327741:KIX327743 KST327741:KST327743 LCP327741:LCP327743 LML327741:LML327743 LWH327741:LWH327743 MGD327741:MGD327743 MPZ327741:MPZ327743 MZV327741:MZV327743 NJR327741:NJR327743 NTN327741:NTN327743 ODJ327741:ODJ327743 ONF327741:ONF327743 OXB327741:OXB327743 PGX327741:PGX327743 PQT327741:PQT327743 QAP327741:QAP327743 QKL327741:QKL327743 QUH327741:QUH327743 RED327741:RED327743 RNZ327741:RNZ327743 RXV327741:RXV327743 SHR327741:SHR327743 SRN327741:SRN327743 TBJ327741:TBJ327743 TLF327741:TLF327743 TVB327741:TVB327743 UEX327741:UEX327743 UOT327741:UOT327743 UYP327741:UYP327743 VIL327741:VIL327743 VSH327741:VSH327743 WCD327741:WCD327743 WLZ327741:WLZ327743 WVV327741:WVV327743 N393277:N393279 JJ393277:JJ393279 TF393277:TF393279 ADB393277:ADB393279 AMX393277:AMX393279 AWT393277:AWT393279 BGP393277:BGP393279 BQL393277:BQL393279 CAH393277:CAH393279 CKD393277:CKD393279 CTZ393277:CTZ393279 DDV393277:DDV393279 DNR393277:DNR393279 DXN393277:DXN393279 EHJ393277:EHJ393279 ERF393277:ERF393279 FBB393277:FBB393279 FKX393277:FKX393279 FUT393277:FUT393279 GEP393277:GEP393279 GOL393277:GOL393279 GYH393277:GYH393279 HID393277:HID393279 HRZ393277:HRZ393279 IBV393277:IBV393279 ILR393277:ILR393279 IVN393277:IVN393279 JFJ393277:JFJ393279 JPF393277:JPF393279 JZB393277:JZB393279 KIX393277:KIX393279 KST393277:KST393279 LCP393277:LCP393279 LML393277:LML393279 LWH393277:LWH393279 MGD393277:MGD393279 MPZ393277:MPZ393279 MZV393277:MZV393279 NJR393277:NJR393279 NTN393277:NTN393279 ODJ393277:ODJ393279 ONF393277:ONF393279 OXB393277:OXB393279 PGX393277:PGX393279 PQT393277:PQT393279 QAP393277:QAP393279 QKL393277:QKL393279 QUH393277:QUH393279 RED393277:RED393279 RNZ393277:RNZ393279 RXV393277:RXV393279 SHR393277:SHR393279 SRN393277:SRN393279 TBJ393277:TBJ393279 TLF393277:TLF393279 TVB393277:TVB393279 UEX393277:UEX393279 UOT393277:UOT393279 UYP393277:UYP393279 VIL393277:VIL393279 VSH393277:VSH393279 WCD393277:WCD393279 WLZ393277:WLZ393279 WVV393277:WVV393279 N458813:N458815 JJ458813:JJ458815 TF458813:TF458815 ADB458813:ADB458815 AMX458813:AMX458815 AWT458813:AWT458815 BGP458813:BGP458815 BQL458813:BQL458815 CAH458813:CAH458815 CKD458813:CKD458815 CTZ458813:CTZ458815 DDV458813:DDV458815 DNR458813:DNR458815 DXN458813:DXN458815 EHJ458813:EHJ458815 ERF458813:ERF458815 FBB458813:FBB458815 FKX458813:FKX458815 FUT458813:FUT458815 GEP458813:GEP458815 GOL458813:GOL458815 GYH458813:GYH458815 HID458813:HID458815 HRZ458813:HRZ458815 IBV458813:IBV458815 ILR458813:ILR458815 IVN458813:IVN458815 JFJ458813:JFJ458815 JPF458813:JPF458815 JZB458813:JZB458815 KIX458813:KIX458815 KST458813:KST458815 LCP458813:LCP458815 LML458813:LML458815 LWH458813:LWH458815 MGD458813:MGD458815 MPZ458813:MPZ458815 MZV458813:MZV458815 NJR458813:NJR458815 NTN458813:NTN458815 ODJ458813:ODJ458815 ONF458813:ONF458815 OXB458813:OXB458815 PGX458813:PGX458815 PQT458813:PQT458815 QAP458813:QAP458815 QKL458813:QKL458815 QUH458813:QUH458815 RED458813:RED458815 RNZ458813:RNZ458815 RXV458813:RXV458815 SHR458813:SHR458815 SRN458813:SRN458815 TBJ458813:TBJ458815 TLF458813:TLF458815 TVB458813:TVB458815 UEX458813:UEX458815 UOT458813:UOT458815 UYP458813:UYP458815 VIL458813:VIL458815 VSH458813:VSH458815 WCD458813:WCD458815 WLZ458813:WLZ458815 WVV458813:WVV458815 N524349:N524351 JJ524349:JJ524351 TF524349:TF524351 ADB524349:ADB524351 AMX524349:AMX524351 AWT524349:AWT524351 BGP524349:BGP524351 BQL524349:BQL524351 CAH524349:CAH524351 CKD524349:CKD524351 CTZ524349:CTZ524351 DDV524349:DDV524351 DNR524349:DNR524351 DXN524349:DXN524351 EHJ524349:EHJ524351 ERF524349:ERF524351 FBB524349:FBB524351 FKX524349:FKX524351 FUT524349:FUT524351 GEP524349:GEP524351 GOL524349:GOL524351 GYH524349:GYH524351 HID524349:HID524351 HRZ524349:HRZ524351 IBV524349:IBV524351 ILR524349:ILR524351 IVN524349:IVN524351 JFJ524349:JFJ524351 JPF524349:JPF524351 JZB524349:JZB524351 KIX524349:KIX524351 KST524349:KST524351 LCP524349:LCP524351 LML524349:LML524351 LWH524349:LWH524351 MGD524349:MGD524351 MPZ524349:MPZ524351 MZV524349:MZV524351 NJR524349:NJR524351 NTN524349:NTN524351 ODJ524349:ODJ524351 ONF524349:ONF524351 OXB524349:OXB524351 PGX524349:PGX524351 PQT524349:PQT524351 QAP524349:QAP524351 QKL524349:QKL524351 QUH524349:QUH524351 RED524349:RED524351 RNZ524349:RNZ524351 RXV524349:RXV524351 SHR524349:SHR524351 SRN524349:SRN524351 TBJ524349:TBJ524351 TLF524349:TLF524351 TVB524349:TVB524351 UEX524349:UEX524351 UOT524349:UOT524351 UYP524349:UYP524351 VIL524349:VIL524351 VSH524349:VSH524351 WCD524349:WCD524351 WLZ524349:WLZ524351 WVV524349:WVV524351 N589885:N589887 JJ589885:JJ589887 TF589885:TF589887 ADB589885:ADB589887 AMX589885:AMX589887 AWT589885:AWT589887 BGP589885:BGP589887 BQL589885:BQL589887 CAH589885:CAH589887 CKD589885:CKD589887 CTZ589885:CTZ589887 DDV589885:DDV589887 DNR589885:DNR589887 DXN589885:DXN589887 EHJ589885:EHJ589887 ERF589885:ERF589887 FBB589885:FBB589887 FKX589885:FKX589887 FUT589885:FUT589887 GEP589885:GEP589887 GOL589885:GOL589887 GYH589885:GYH589887 HID589885:HID589887 HRZ589885:HRZ589887 IBV589885:IBV589887 ILR589885:ILR589887 IVN589885:IVN589887 JFJ589885:JFJ589887 JPF589885:JPF589887 JZB589885:JZB589887 KIX589885:KIX589887 KST589885:KST589887 LCP589885:LCP589887 LML589885:LML589887 LWH589885:LWH589887 MGD589885:MGD589887 MPZ589885:MPZ589887 MZV589885:MZV589887 NJR589885:NJR589887 NTN589885:NTN589887 ODJ589885:ODJ589887 ONF589885:ONF589887 OXB589885:OXB589887 PGX589885:PGX589887 PQT589885:PQT589887 QAP589885:QAP589887 QKL589885:QKL589887 QUH589885:QUH589887 RED589885:RED589887 RNZ589885:RNZ589887 RXV589885:RXV589887 SHR589885:SHR589887 SRN589885:SRN589887 TBJ589885:TBJ589887 TLF589885:TLF589887 TVB589885:TVB589887 UEX589885:UEX589887 UOT589885:UOT589887 UYP589885:UYP589887 VIL589885:VIL589887 VSH589885:VSH589887 WCD589885:WCD589887 WLZ589885:WLZ589887 WVV589885:WVV589887 N655421:N655423 JJ655421:JJ655423 TF655421:TF655423 ADB655421:ADB655423 AMX655421:AMX655423 AWT655421:AWT655423 BGP655421:BGP655423 BQL655421:BQL655423 CAH655421:CAH655423 CKD655421:CKD655423 CTZ655421:CTZ655423 DDV655421:DDV655423 DNR655421:DNR655423 DXN655421:DXN655423 EHJ655421:EHJ655423 ERF655421:ERF655423 FBB655421:FBB655423 FKX655421:FKX655423 FUT655421:FUT655423 GEP655421:GEP655423 GOL655421:GOL655423 GYH655421:GYH655423 HID655421:HID655423 HRZ655421:HRZ655423 IBV655421:IBV655423 ILR655421:ILR655423 IVN655421:IVN655423 JFJ655421:JFJ655423 JPF655421:JPF655423 JZB655421:JZB655423 KIX655421:KIX655423 KST655421:KST655423 LCP655421:LCP655423 LML655421:LML655423 LWH655421:LWH655423 MGD655421:MGD655423 MPZ655421:MPZ655423 MZV655421:MZV655423 NJR655421:NJR655423 NTN655421:NTN655423 ODJ655421:ODJ655423 ONF655421:ONF655423 OXB655421:OXB655423 PGX655421:PGX655423 PQT655421:PQT655423 QAP655421:QAP655423 QKL655421:QKL655423 QUH655421:QUH655423 RED655421:RED655423 RNZ655421:RNZ655423 RXV655421:RXV655423 SHR655421:SHR655423 SRN655421:SRN655423 TBJ655421:TBJ655423 TLF655421:TLF655423 TVB655421:TVB655423 UEX655421:UEX655423 UOT655421:UOT655423 UYP655421:UYP655423 VIL655421:VIL655423 VSH655421:VSH655423 WCD655421:WCD655423 WLZ655421:WLZ655423 WVV655421:WVV655423 N720957:N720959 JJ720957:JJ720959 TF720957:TF720959 ADB720957:ADB720959 AMX720957:AMX720959 AWT720957:AWT720959 BGP720957:BGP720959 BQL720957:BQL720959 CAH720957:CAH720959 CKD720957:CKD720959 CTZ720957:CTZ720959 DDV720957:DDV720959 DNR720957:DNR720959 DXN720957:DXN720959 EHJ720957:EHJ720959 ERF720957:ERF720959 FBB720957:FBB720959 FKX720957:FKX720959 FUT720957:FUT720959 GEP720957:GEP720959 GOL720957:GOL720959 GYH720957:GYH720959 HID720957:HID720959 HRZ720957:HRZ720959 IBV720957:IBV720959 ILR720957:ILR720959 IVN720957:IVN720959 JFJ720957:JFJ720959 JPF720957:JPF720959 JZB720957:JZB720959 KIX720957:KIX720959 KST720957:KST720959 LCP720957:LCP720959 LML720957:LML720959 LWH720957:LWH720959 MGD720957:MGD720959 MPZ720957:MPZ720959 MZV720957:MZV720959 NJR720957:NJR720959 NTN720957:NTN720959 ODJ720957:ODJ720959 ONF720957:ONF720959 OXB720957:OXB720959 PGX720957:PGX720959 PQT720957:PQT720959 QAP720957:QAP720959 QKL720957:QKL720959 QUH720957:QUH720959 RED720957:RED720959 RNZ720957:RNZ720959 RXV720957:RXV720959 SHR720957:SHR720959 SRN720957:SRN720959 TBJ720957:TBJ720959 TLF720957:TLF720959 TVB720957:TVB720959 UEX720957:UEX720959 UOT720957:UOT720959 UYP720957:UYP720959 VIL720957:VIL720959 VSH720957:VSH720959 WCD720957:WCD720959 WLZ720957:WLZ720959 WVV720957:WVV720959 N786493:N786495 JJ786493:JJ786495 TF786493:TF786495 ADB786493:ADB786495 AMX786493:AMX786495 AWT786493:AWT786495 BGP786493:BGP786495 BQL786493:BQL786495 CAH786493:CAH786495 CKD786493:CKD786495 CTZ786493:CTZ786495 DDV786493:DDV786495 DNR786493:DNR786495 DXN786493:DXN786495 EHJ786493:EHJ786495 ERF786493:ERF786495 FBB786493:FBB786495 FKX786493:FKX786495 FUT786493:FUT786495 GEP786493:GEP786495 GOL786493:GOL786495 GYH786493:GYH786495 HID786493:HID786495 HRZ786493:HRZ786495 IBV786493:IBV786495 ILR786493:ILR786495 IVN786493:IVN786495 JFJ786493:JFJ786495 JPF786493:JPF786495 JZB786493:JZB786495 KIX786493:KIX786495 KST786493:KST786495 LCP786493:LCP786495 LML786493:LML786495 LWH786493:LWH786495 MGD786493:MGD786495 MPZ786493:MPZ786495 MZV786493:MZV786495 NJR786493:NJR786495 NTN786493:NTN786495 ODJ786493:ODJ786495 ONF786493:ONF786495 OXB786493:OXB786495 PGX786493:PGX786495 PQT786493:PQT786495 QAP786493:QAP786495 QKL786493:QKL786495 QUH786493:QUH786495 RED786493:RED786495 RNZ786493:RNZ786495 RXV786493:RXV786495 SHR786493:SHR786495 SRN786493:SRN786495 TBJ786493:TBJ786495 TLF786493:TLF786495 TVB786493:TVB786495 UEX786493:UEX786495 UOT786493:UOT786495 UYP786493:UYP786495 VIL786493:VIL786495 VSH786493:VSH786495 WCD786493:WCD786495 WLZ786493:WLZ786495 WVV786493:WVV786495 N852029:N852031 JJ852029:JJ852031 TF852029:TF852031 ADB852029:ADB852031 AMX852029:AMX852031 AWT852029:AWT852031 BGP852029:BGP852031 BQL852029:BQL852031 CAH852029:CAH852031 CKD852029:CKD852031 CTZ852029:CTZ852031 DDV852029:DDV852031 DNR852029:DNR852031 DXN852029:DXN852031 EHJ852029:EHJ852031 ERF852029:ERF852031 FBB852029:FBB852031 FKX852029:FKX852031 FUT852029:FUT852031 GEP852029:GEP852031 GOL852029:GOL852031 GYH852029:GYH852031 HID852029:HID852031 HRZ852029:HRZ852031 IBV852029:IBV852031 ILR852029:ILR852031 IVN852029:IVN852031 JFJ852029:JFJ852031 JPF852029:JPF852031 JZB852029:JZB852031 KIX852029:KIX852031 KST852029:KST852031 LCP852029:LCP852031 LML852029:LML852031 LWH852029:LWH852031 MGD852029:MGD852031 MPZ852029:MPZ852031 MZV852029:MZV852031 NJR852029:NJR852031 NTN852029:NTN852031 ODJ852029:ODJ852031 ONF852029:ONF852031 OXB852029:OXB852031 PGX852029:PGX852031 PQT852029:PQT852031 QAP852029:QAP852031 QKL852029:QKL852031 QUH852029:QUH852031 RED852029:RED852031 RNZ852029:RNZ852031 RXV852029:RXV852031 SHR852029:SHR852031 SRN852029:SRN852031 TBJ852029:TBJ852031 TLF852029:TLF852031 TVB852029:TVB852031 UEX852029:UEX852031 UOT852029:UOT852031 UYP852029:UYP852031 VIL852029:VIL852031 VSH852029:VSH852031 WCD852029:WCD852031 WLZ852029:WLZ852031 WVV852029:WVV852031 N917565:N917567 JJ917565:JJ917567 TF917565:TF917567 ADB917565:ADB917567 AMX917565:AMX917567 AWT917565:AWT917567 BGP917565:BGP917567 BQL917565:BQL917567 CAH917565:CAH917567 CKD917565:CKD917567 CTZ917565:CTZ917567 DDV917565:DDV917567 DNR917565:DNR917567 DXN917565:DXN917567 EHJ917565:EHJ917567 ERF917565:ERF917567 FBB917565:FBB917567 FKX917565:FKX917567 FUT917565:FUT917567 GEP917565:GEP917567 GOL917565:GOL917567 GYH917565:GYH917567 HID917565:HID917567 HRZ917565:HRZ917567 IBV917565:IBV917567 ILR917565:ILR917567 IVN917565:IVN917567 JFJ917565:JFJ917567 JPF917565:JPF917567 JZB917565:JZB917567 KIX917565:KIX917567 KST917565:KST917567 LCP917565:LCP917567 LML917565:LML917567 LWH917565:LWH917567 MGD917565:MGD917567 MPZ917565:MPZ917567 MZV917565:MZV917567 NJR917565:NJR917567 NTN917565:NTN917567 ODJ917565:ODJ917567 ONF917565:ONF917567 OXB917565:OXB917567 PGX917565:PGX917567 PQT917565:PQT917567 QAP917565:QAP917567 QKL917565:QKL917567 QUH917565:QUH917567 RED917565:RED917567 RNZ917565:RNZ917567 RXV917565:RXV917567 SHR917565:SHR917567 SRN917565:SRN917567 TBJ917565:TBJ917567 TLF917565:TLF917567 TVB917565:TVB917567 UEX917565:UEX917567 UOT917565:UOT917567 UYP917565:UYP917567 VIL917565:VIL917567 VSH917565:VSH917567 WCD917565:WCD917567 WLZ917565:WLZ917567 WVV917565:WVV917567 N983101:N983103 JJ983101:JJ983103 TF983101:TF983103 ADB983101:ADB983103 AMX983101:AMX983103 AWT983101:AWT983103 BGP983101:BGP983103 BQL983101:BQL983103 CAH983101:CAH983103 CKD983101:CKD983103 CTZ983101:CTZ983103 DDV983101:DDV983103 DNR983101:DNR983103 DXN983101:DXN983103 EHJ983101:EHJ983103 ERF983101:ERF983103 FBB983101:FBB983103 FKX983101:FKX983103 FUT983101:FUT983103 GEP983101:GEP983103 GOL983101:GOL983103 GYH983101:GYH983103 HID983101:HID983103 HRZ983101:HRZ983103 IBV983101:IBV983103 ILR983101:ILR983103 IVN983101:IVN983103 JFJ983101:JFJ983103 JPF983101:JPF983103 JZB983101:JZB983103 KIX983101:KIX983103 KST983101:KST983103 LCP983101:LCP983103 LML983101:LML983103 LWH983101:LWH983103 MGD983101:MGD983103 MPZ983101:MPZ983103 MZV983101:MZV983103 NJR983101:NJR983103 NTN983101:NTN983103 ODJ983101:ODJ983103 ONF983101:ONF983103 OXB983101:OXB983103 PGX983101:PGX983103 PQT983101:PQT983103 QAP983101:QAP983103 QKL983101:QKL983103 QUH983101:QUH983103 RED983101:RED983103 RNZ983101:RNZ983103 RXV983101:RXV983103 SHR983101:SHR983103 SRN983101:SRN983103 TBJ983101:TBJ983103 TLF983101:TLF983103 TVB983101:TVB983103 UEX983101:UEX983103 UOT983101:UOT983103 UYP983101:UYP983103 VIL983101:VIL983103 VSH983101:VSH983103 WCD983101:WCD983103 WLZ983101:WLZ983103 WVV983101:WVV983103 UER983084:UER983087 JD56:JD57 SZ56:SZ57 ACV56:ACV57 AMR56:AMR57 AWN56:AWN57 BGJ56:BGJ57 BQF56:BQF57 CAB56:CAB57 CJX56:CJX57 CTT56:CTT57 DDP56:DDP57 DNL56:DNL57 DXH56:DXH57 EHD56:EHD57 EQZ56:EQZ57 FAV56:FAV57 FKR56:FKR57 FUN56:FUN57 GEJ56:GEJ57 GOF56:GOF57 GYB56:GYB57 HHX56:HHX57 HRT56:HRT57 IBP56:IBP57 ILL56:ILL57 IVH56:IVH57 JFD56:JFD57 JOZ56:JOZ57 JYV56:JYV57 KIR56:KIR57 KSN56:KSN57 LCJ56:LCJ57 LMF56:LMF57 LWB56:LWB57 MFX56:MFX57 MPT56:MPT57 MZP56:MZP57 NJL56:NJL57 NTH56:NTH57 ODD56:ODD57 OMZ56:OMZ57 OWV56:OWV57 PGR56:PGR57 PQN56:PQN57 QAJ56:QAJ57 QKF56:QKF57 QUB56:QUB57 RDX56:RDX57 RNT56:RNT57 RXP56:RXP57 SHL56:SHL57 SRH56:SRH57 TBD56:TBD57 TKZ56:TKZ57 TUV56:TUV57 UER56:UER57 UON56:UON57 UYJ56:UYJ57 VIF56:VIF57 VSB56:VSB57 WBX56:WBX57 WLT56:WLT57 WVP56:WVP57 H65597:H65598 JD65597:JD65598 SZ65597:SZ65598 ACV65597:ACV65598 AMR65597:AMR65598 AWN65597:AWN65598 BGJ65597:BGJ65598 BQF65597:BQF65598 CAB65597:CAB65598 CJX65597:CJX65598 CTT65597:CTT65598 DDP65597:DDP65598 DNL65597:DNL65598 DXH65597:DXH65598 EHD65597:EHD65598 EQZ65597:EQZ65598 FAV65597:FAV65598 FKR65597:FKR65598 FUN65597:FUN65598 GEJ65597:GEJ65598 GOF65597:GOF65598 GYB65597:GYB65598 HHX65597:HHX65598 HRT65597:HRT65598 IBP65597:IBP65598 ILL65597:ILL65598 IVH65597:IVH65598 JFD65597:JFD65598 JOZ65597:JOZ65598 JYV65597:JYV65598 KIR65597:KIR65598 KSN65597:KSN65598 LCJ65597:LCJ65598 LMF65597:LMF65598 LWB65597:LWB65598 MFX65597:MFX65598 MPT65597:MPT65598 MZP65597:MZP65598 NJL65597:NJL65598 NTH65597:NTH65598 ODD65597:ODD65598 OMZ65597:OMZ65598 OWV65597:OWV65598 PGR65597:PGR65598 PQN65597:PQN65598 QAJ65597:QAJ65598 QKF65597:QKF65598 QUB65597:QUB65598 RDX65597:RDX65598 RNT65597:RNT65598 RXP65597:RXP65598 SHL65597:SHL65598 SRH65597:SRH65598 TBD65597:TBD65598 TKZ65597:TKZ65598 TUV65597:TUV65598 UER65597:UER65598 UON65597:UON65598 UYJ65597:UYJ65598 VIF65597:VIF65598 VSB65597:VSB65598 WBX65597:WBX65598 WLT65597:WLT65598 WVP65597:WVP65598 H131133:H131134 JD131133:JD131134 SZ131133:SZ131134 ACV131133:ACV131134 AMR131133:AMR131134 AWN131133:AWN131134 BGJ131133:BGJ131134 BQF131133:BQF131134 CAB131133:CAB131134 CJX131133:CJX131134 CTT131133:CTT131134 DDP131133:DDP131134 DNL131133:DNL131134 DXH131133:DXH131134 EHD131133:EHD131134 EQZ131133:EQZ131134 FAV131133:FAV131134 FKR131133:FKR131134 FUN131133:FUN131134 GEJ131133:GEJ131134 GOF131133:GOF131134 GYB131133:GYB131134 HHX131133:HHX131134 HRT131133:HRT131134 IBP131133:IBP131134 ILL131133:ILL131134 IVH131133:IVH131134 JFD131133:JFD131134 JOZ131133:JOZ131134 JYV131133:JYV131134 KIR131133:KIR131134 KSN131133:KSN131134 LCJ131133:LCJ131134 LMF131133:LMF131134 LWB131133:LWB131134 MFX131133:MFX131134 MPT131133:MPT131134 MZP131133:MZP131134 NJL131133:NJL131134 NTH131133:NTH131134 ODD131133:ODD131134 OMZ131133:OMZ131134 OWV131133:OWV131134 PGR131133:PGR131134 PQN131133:PQN131134 QAJ131133:QAJ131134 QKF131133:QKF131134 QUB131133:QUB131134 RDX131133:RDX131134 RNT131133:RNT131134 RXP131133:RXP131134 SHL131133:SHL131134 SRH131133:SRH131134 TBD131133:TBD131134 TKZ131133:TKZ131134 TUV131133:TUV131134 UER131133:UER131134 UON131133:UON131134 UYJ131133:UYJ131134 VIF131133:VIF131134 VSB131133:VSB131134 WBX131133:WBX131134 WLT131133:WLT131134 WVP131133:WVP131134 H196669:H196670 JD196669:JD196670 SZ196669:SZ196670 ACV196669:ACV196670 AMR196669:AMR196670 AWN196669:AWN196670 BGJ196669:BGJ196670 BQF196669:BQF196670 CAB196669:CAB196670 CJX196669:CJX196670 CTT196669:CTT196670 DDP196669:DDP196670 DNL196669:DNL196670 DXH196669:DXH196670 EHD196669:EHD196670 EQZ196669:EQZ196670 FAV196669:FAV196670 FKR196669:FKR196670 FUN196669:FUN196670 GEJ196669:GEJ196670 GOF196669:GOF196670 GYB196669:GYB196670 HHX196669:HHX196670 HRT196669:HRT196670 IBP196669:IBP196670 ILL196669:ILL196670 IVH196669:IVH196670 JFD196669:JFD196670 JOZ196669:JOZ196670 JYV196669:JYV196670 KIR196669:KIR196670 KSN196669:KSN196670 LCJ196669:LCJ196670 LMF196669:LMF196670 LWB196669:LWB196670 MFX196669:MFX196670 MPT196669:MPT196670 MZP196669:MZP196670 NJL196669:NJL196670 NTH196669:NTH196670 ODD196669:ODD196670 OMZ196669:OMZ196670 OWV196669:OWV196670 PGR196669:PGR196670 PQN196669:PQN196670 QAJ196669:QAJ196670 QKF196669:QKF196670 QUB196669:QUB196670 RDX196669:RDX196670 RNT196669:RNT196670 RXP196669:RXP196670 SHL196669:SHL196670 SRH196669:SRH196670 TBD196669:TBD196670 TKZ196669:TKZ196670 TUV196669:TUV196670 UER196669:UER196670 UON196669:UON196670 UYJ196669:UYJ196670 VIF196669:VIF196670 VSB196669:VSB196670 WBX196669:WBX196670 WLT196669:WLT196670 WVP196669:WVP196670 H262205:H262206 JD262205:JD262206 SZ262205:SZ262206 ACV262205:ACV262206 AMR262205:AMR262206 AWN262205:AWN262206 BGJ262205:BGJ262206 BQF262205:BQF262206 CAB262205:CAB262206 CJX262205:CJX262206 CTT262205:CTT262206 DDP262205:DDP262206 DNL262205:DNL262206 DXH262205:DXH262206 EHD262205:EHD262206 EQZ262205:EQZ262206 FAV262205:FAV262206 FKR262205:FKR262206 FUN262205:FUN262206 GEJ262205:GEJ262206 GOF262205:GOF262206 GYB262205:GYB262206 HHX262205:HHX262206 HRT262205:HRT262206 IBP262205:IBP262206 ILL262205:ILL262206 IVH262205:IVH262206 JFD262205:JFD262206 JOZ262205:JOZ262206 JYV262205:JYV262206 KIR262205:KIR262206 KSN262205:KSN262206 LCJ262205:LCJ262206 LMF262205:LMF262206 LWB262205:LWB262206 MFX262205:MFX262206 MPT262205:MPT262206 MZP262205:MZP262206 NJL262205:NJL262206 NTH262205:NTH262206 ODD262205:ODD262206 OMZ262205:OMZ262206 OWV262205:OWV262206 PGR262205:PGR262206 PQN262205:PQN262206 QAJ262205:QAJ262206 QKF262205:QKF262206 QUB262205:QUB262206 RDX262205:RDX262206 RNT262205:RNT262206 RXP262205:RXP262206 SHL262205:SHL262206 SRH262205:SRH262206 TBD262205:TBD262206 TKZ262205:TKZ262206 TUV262205:TUV262206 UER262205:UER262206 UON262205:UON262206 UYJ262205:UYJ262206 VIF262205:VIF262206 VSB262205:VSB262206 WBX262205:WBX262206 WLT262205:WLT262206 WVP262205:WVP262206 H327741:H327742 JD327741:JD327742 SZ327741:SZ327742 ACV327741:ACV327742 AMR327741:AMR327742 AWN327741:AWN327742 BGJ327741:BGJ327742 BQF327741:BQF327742 CAB327741:CAB327742 CJX327741:CJX327742 CTT327741:CTT327742 DDP327741:DDP327742 DNL327741:DNL327742 DXH327741:DXH327742 EHD327741:EHD327742 EQZ327741:EQZ327742 FAV327741:FAV327742 FKR327741:FKR327742 FUN327741:FUN327742 GEJ327741:GEJ327742 GOF327741:GOF327742 GYB327741:GYB327742 HHX327741:HHX327742 HRT327741:HRT327742 IBP327741:IBP327742 ILL327741:ILL327742 IVH327741:IVH327742 JFD327741:JFD327742 JOZ327741:JOZ327742 JYV327741:JYV327742 KIR327741:KIR327742 KSN327741:KSN327742 LCJ327741:LCJ327742 LMF327741:LMF327742 LWB327741:LWB327742 MFX327741:MFX327742 MPT327741:MPT327742 MZP327741:MZP327742 NJL327741:NJL327742 NTH327741:NTH327742 ODD327741:ODD327742 OMZ327741:OMZ327742 OWV327741:OWV327742 PGR327741:PGR327742 PQN327741:PQN327742 QAJ327741:QAJ327742 QKF327741:QKF327742 QUB327741:QUB327742 RDX327741:RDX327742 RNT327741:RNT327742 RXP327741:RXP327742 SHL327741:SHL327742 SRH327741:SRH327742 TBD327741:TBD327742 TKZ327741:TKZ327742 TUV327741:TUV327742 UER327741:UER327742 UON327741:UON327742 UYJ327741:UYJ327742 VIF327741:VIF327742 VSB327741:VSB327742 WBX327741:WBX327742 WLT327741:WLT327742 WVP327741:WVP327742 H393277:H393278 JD393277:JD393278 SZ393277:SZ393278 ACV393277:ACV393278 AMR393277:AMR393278 AWN393277:AWN393278 BGJ393277:BGJ393278 BQF393277:BQF393278 CAB393277:CAB393278 CJX393277:CJX393278 CTT393277:CTT393278 DDP393277:DDP393278 DNL393277:DNL393278 DXH393277:DXH393278 EHD393277:EHD393278 EQZ393277:EQZ393278 FAV393277:FAV393278 FKR393277:FKR393278 FUN393277:FUN393278 GEJ393277:GEJ393278 GOF393277:GOF393278 GYB393277:GYB393278 HHX393277:HHX393278 HRT393277:HRT393278 IBP393277:IBP393278 ILL393277:ILL393278 IVH393277:IVH393278 JFD393277:JFD393278 JOZ393277:JOZ393278 JYV393277:JYV393278 KIR393277:KIR393278 KSN393277:KSN393278 LCJ393277:LCJ393278 LMF393277:LMF393278 LWB393277:LWB393278 MFX393277:MFX393278 MPT393277:MPT393278 MZP393277:MZP393278 NJL393277:NJL393278 NTH393277:NTH393278 ODD393277:ODD393278 OMZ393277:OMZ393278 OWV393277:OWV393278 PGR393277:PGR393278 PQN393277:PQN393278 QAJ393277:QAJ393278 QKF393277:QKF393278 QUB393277:QUB393278 RDX393277:RDX393278 RNT393277:RNT393278 RXP393277:RXP393278 SHL393277:SHL393278 SRH393277:SRH393278 TBD393277:TBD393278 TKZ393277:TKZ393278 TUV393277:TUV393278 UER393277:UER393278 UON393277:UON393278 UYJ393277:UYJ393278 VIF393277:VIF393278 VSB393277:VSB393278 WBX393277:WBX393278 WLT393277:WLT393278 WVP393277:WVP393278 H458813:H458814 JD458813:JD458814 SZ458813:SZ458814 ACV458813:ACV458814 AMR458813:AMR458814 AWN458813:AWN458814 BGJ458813:BGJ458814 BQF458813:BQF458814 CAB458813:CAB458814 CJX458813:CJX458814 CTT458813:CTT458814 DDP458813:DDP458814 DNL458813:DNL458814 DXH458813:DXH458814 EHD458813:EHD458814 EQZ458813:EQZ458814 FAV458813:FAV458814 FKR458813:FKR458814 FUN458813:FUN458814 GEJ458813:GEJ458814 GOF458813:GOF458814 GYB458813:GYB458814 HHX458813:HHX458814 HRT458813:HRT458814 IBP458813:IBP458814 ILL458813:ILL458814 IVH458813:IVH458814 JFD458813:JFD458814 JOZ458813:JOZ458814 JYV458813:JYV458814 KIR458813:KIR458814 KSN458813:KSN458814 LCJ458813:LCJ458814 LMF458813:LMF458814 LWB458813:LWB458814 MFX458813:MFX458814 MPT458813:MPT458814 MZP458813:MZP458814 NJL458813:NJL458814 NTH458813:NTH458814 ODD458813:ODD458814 OMZ458813:OMZ458814 OWV458813:OWV458814 PGR458813:PGR458814 PQN458813:PQN458814 QAJ458813:QAJ458814 QKF458813:QKF458814 QUB458813:QUB458814 RDX458813:RDX458814 RNT458813:RNT458814 RXP458813:RXP458814 SHL458813:SHL458814 SRH458813:SRH458814 TBD458813:TBD458814 TKZ458813:TKZ458814 TUV458813:TUV458814 UER458813:UER458814 UON458813:UON458814 UYJ458813:UYJ458814 VIF458813:VIF458814 VSB458813:VSB458814 WBX458813:WBX458814 WLT458813:WLT458814 WVP458813:WVP458814 H524349:H524350 JD524349:JD524350 SZ524349:SZ524350 ACV524349:ACV524350 AMR524349:AMR524350 AWN524349:AWN524350 BGJ524349:BGJ524350 BQF524349:BQF524350 CAB524349:CAB524350 CJX524349:CJX524350 CTT524349:CTT524350 DDP524349:DDP524350 DNL524349:DNL524350 DXH524349:DXH524350 EHD524349:EHD524350 EQZ524349:EQZ524350 FAV524349:FAV524350 FKR524349:FKR524350 FUN524349:FUN524350 GEJ524349:GEJ524350 GOF524349:GOF524350 GYB524349:GYB524350 HHX524349:HHX524350 HRT524349:HRT524350 IBP524349:IBP524350 ILL524349:ILL524350 IVH524349:IVH524350 JFD524349:JFD524350 JOZ524349:JOZ524350 JYV524349:JYV524350 KIR524349:KIR524350 KSN524349:KSN524350 LCJ524349:LCJ524350 LMF524349:LMF524350 LWB524349:LWB524350 MFX524349:MFX524350 MPT524349:MPT524350 MZP524349:MZP524350 NJL524349:NJL524350 NTH524349:NTH524350 ODD524349:ODD524350 OMZ524349:OMZ524350 OWV524349:OWV524350 PGR524349:PGR524350 PQN524349:PQN524350 QAJ524349:QAJ524350 QKF524349:QKF524350 QUB524349:QUB524350 RDX524349:RDX524350 RNT524349:RNT524350 RXP524349:RXP524350 SHL524349:SHL524350 SRH524349:SRH524350 TBD524349:TBD524350 TKZ524349:TKZ524350 TUV524349:TUV524350 UER524349:UER524350 UON524349:UON524350 UYJ524349:UYJ524350 VIF524349:VIF524350 VSB524349:VSB524350 WBX524349:WBX524350 WLT524349:WLT524350 WVP524349:WVP524350 H589885:H589886 JD589885:JD589886 SZ589885:SZ589886 ACV589885:ACV589886 AMR589885:AMR589886 AWN589885:AWN589886 BGJ589885:BGJ589886 BQF589885:BQF589886 CAB589885:CAB589886 CJX589885:CJX589886 CTT589885:CTT589886 DDP589885:DDP589886 DNL589885:DNL589886 DXH589885:DXH589886 EHD589885:EHD589886 EQZ589885:EQZ589886 FAV589885:FAV589886 FKR589885:FKR589886 FUN589885:FUN589886 GEJ589885:GEJ589886 GOF589885:GOF589886 GYB589885:GYB589886 HHX589885:HHX589886 HRT589885:HRT589886 IBP589885:IBP589886 ILL589885:ILL589886 IVH589885:IVH589886 JFD589885:JFD589886 JOZ589885:JOZ589886 JYV589885:JYV589886 KIR589885:KIR589886 KSN589885:KSN589886 LCJ589885:LCJ589886 LMF589885:LMF589886 LWB589885:LWB589886 MFX589885:MFX589886 MPT589885:MPT589886 MZP589885:MZP589886 NJL589885:NJL589886 NTH589885:NTH589886 ODD589885:ODD589886 OMZ589885:OMZ589886 OWV589885:OWV589886 PGR589885:PGR589886 PQN589885:PQN589886 QAJ589885:QAJ589886 QKF589885:QKF589886 QUB589885:QUB589886 RDX589885:RDX589886 RNT589885:RNT589886 RXP589885:RXP589886 SHL589885:SHL589886 SRH589885:SRH589886 TBD589885:TBD589886 TKZ589885:TKZ589886 TUV589885:TUV589886 UER589885:UER589886 UON589885:UON589886 UYJ589885:UYJ589886 VIF589885:VIF589886 VSB589885:VSB589886 WBX589885:WBX589886 WLT589885:WLT589886 WVP589885:WVP589886 H655421:H655422 JD655421:JD655422 SZ655421:SZ655422 ACV655421:ACV655422 AMR655421:AMR655422 AWN655421:AWN655422 BGJ655421:BGJ655422 BQF655421:BQF655422 CAB655421:CAB655422 CJX655421:CJX655422 CTT655421:CTT655422 DDP655421:DDP655422 DNL655421:DNL655422 DXH655421:DXH655422 EHD655421:EHD655422 EQZ655421:EQZ655422 FAV655421:FAV655422 FKR655421:FKR655422 FUN655421:FUN655422 GEJ655421:GEJ655422 GOF655421:GOF655422 GYB655421:GYB655422 HHX655421:HHX655422 HRT655421:HRT655422 IBP655421:IBP655422 ILL655421:ILL655422 IVH655421:IVH655422 JFD655421:JFD655422 JOZ655421:JOZ655422 JYV655421:JYV655422 KIR655421:KIR655422 KSN655421:KSN655422 LCJ655421:LCJ655422 LMF655421:LMF655422 LWB655421:LWB655422 MFX655421:MFX655422 MPT655421:MPT655422 MZP655421:MZP655422 NJL655421:NJL655422 NTH655421:NTH655422 ODD655421:ODD655422 OMZ655421:OMZ655422 OWV655421:OWV655422 PGR655421:PGR655422 PQN655421:PQN655422 QAJ655421:QAJ655422 QKF655421:QKF655422 QUB655421:QUB655422 RDX655421:RDX655422 RNT655421:RNT655422 RXP655421:RXP655422 SHL655421:SHL655422 SRH655421:SRH655422 TBD655421:TBD655422 TKZ655421:TKZ655422 TUV655421:TUV655422 UER655421:UER655422 UON655421:UON655422 UYJ655421:UYJ655422 VIF655421:VIF655422 VSB655421:VSB655422 WBX655421:WBX655422 WLT655421:WLT655422 WVP655421:WVP655422 H720957:H720958 JD720957:JD720958 SZ720957:SZ720958 ACV720957:ACV720958 AMR720957:AMR720958 AWN720957:AWN720958 BGJ720957:BGJ720958 BQF720957:BQF720958 CAB720957:CAB720958 CJX720957:CJX720958 CTT720957:CTT720958 DDP720957:DDP720958 DNL720957:DNL720958 DXH720957:DXH720958 EHD720957:EHD720958 EQZ720957:EQZ720958 FAV720957:FAV720958 FKR720957:FKR720958 FUN720957:FUN720958 GEJ720957:GEJ720958 GOF720957:GOF720958 GYB720957:GYB720958 HHX720957:HHX720958 HRT720957:HRT720958 IBP720957:IBP720958 ILL720957:ILL720958 IVH720957:IVH720958 JFD720957:JFD720958 JOZ720957:JOZ720958 JYV720957:JYV720958 KIR720957:KIR720958 KSN720957:KSN720958 LCJ720957:LCJ720958 LMF720957:LMF720958 LWB720957:LWB720958 MFX720957:MFX720958 MPT720957:MPT720958 MZP720957:MZP720958 NJL720957:NJL720958 NTH720957:NTH720958 ODD720957:ODD720958 OMZ720957:OMZ720958 OWV720957:OWV720958 PGR720957:PGR720958 PQN720957:PQN720958 QAJ720957:QAJ720958 QKF720957:QKF720958 QUB720957:QUB720958 RDX720957:RDX720958 RNT720957:RNT720958 RXP720957:RXP720958 SHL720957:SHL720958 SRH720957:SRH720958 TBD720957:TBD720958 TKZ720957:TKZ720958 TUV720957:TUV720958 UER720957:UER720958 UON720957:UON720958 UYJ720957:UYJ720958 VIF720957:VIF720958 VSB720957:VSB720958 WBX720957:WBX720958 WLT720957:WLT720958 WVP720957:WVP720958 H786493:H786494 JD786493:JD786494 SZ786493:SZ786494 ACV786493:ACV786494 AMR786493:AMR786494 AWN786493:AWN786494 BGJ786493:BGJ786494 BQF786493:BQF786494 CAB786493:CAB786494 CJX786493:CJX786494 CTT786493:CTT786494 DDP786493:DDP786494 DNL786493:DNL786494 DXH786493:DXH786494 EHD786493:EHD786494 EQZ786493:EQZ786494 FAV786493:FAV786494 FKR786493:FKR786494 FUN786493:FUN786494 GEJ786493:GEJ786494 GOF786493:GOF786494 GYB786493:GYB786494 HHX786493:HHX786494 HRT786493:HRT786494 IBP786493:IBP786494 ILL786493:ILL786494 IVH786493:IVH786494 JFD786493:JFD786494 JOZ786493:JOZ786494 JYV786493:JYV786494 KIR786493:KIR786494 KSN786493:KSN786494 LCJ786493:LCJ786494 LMF786493:LMF786494 LWB786493:LWB786494 MFX786493:MFX786494 MPT786493:MPT786494 MZP786493:MZP786494 NJL786493:NJL786494 NTH786493:NTH786494 ODD786493:ODD786494 OMZ786493:OMZ786494 OWV786493:OWV786494 PGR786493:PGR786494 PQN786493:PQN786494 QAJ786493:QAJ786494 QKF786493:QKF786494 QUB786493:QUB786494 RDX786493:RDX786494 RNT786493:RNT786494 RXP786493:RXP786494 SHL786493:SHL786494 SRH786493:SRH786494 TBD786493:TBD786494 TKZ786493:TKZ786494 TUV786493:TUV786494 UER786493:UER786494 UON786493:UON786494 UYJ786493:UYJ786494 VIF786493:VIF786494 VSB786493:VSB786494 WBX786493:WBX786494 WLT786493:WLT786494 WVP786493:WVP786494 H852029:H852030 JD852029:JD852030 SZ852029:SZ852030 ACV852029:ACV852030 AMR852029:AMR852030 AWN852029:AWN852030 BGJ852029:BGJ852030 BQF852029:BQF852030 CAB852029:CAB852030 CJX852029:CJX852030 CTT852029:CTT852030 DDP852029:DDP852030 DNL852029:DNL852030 DXH852029:DXH852030 EHD852029:EHD852030 EQZ852029:EQZ852030 FAV852029:FAV852030 FKR852029:FKR852030 FUN852029:FUN852030 GEJ852029:GEJ852030 GOF852029:GOF852030 GYB852029:GYB852030 HHX852029:HHX852030 HRT852029:HRT852030 IBP852029:IBP852030 ILL852029:ILL852030 IVH852029:IVH852030 JFD852029:JFD852030 JOZ852029:JOZ852030 JYV852029:JYV852030 KIR852029:KIR852030 KSN852029:KSN852030 LCJ852029:LCJ852030 LMF852029:LMF852030 LWB852029:LWB852030 MFX852029:MFX852030 MPT852029:MPT852030 MZP852029:MZP852030 NJL852029:NJL852030 NTH852029:NTH852030 ODD852029:ODD852030 OMZ852029:OMZ852030 OWV852029:OWV852030 PGR852029:PGR852030 PQN852029:PQN852030 QAJ852029:QAJ852030 QKF852029:QKF852030 QUB852029:QUB852030 RDX852029:RDX852030 RNT852029:RNT852030 RXP852029:RXP852030 SHL852029:SHL852030 SRH852029:SRH852030 TBD852029:TBD852030 TKZ852029:TKZ852030 TUV852029:TUV852030 UER852029:UER852030 UON852029:UON852030 UYJ852029:UYJ852030 VIF852029:VIF852030 VSB852029:VSB852030 WBX852029:WBX852030 WLT852029:WLT852030 WVP852029:WVP852030 H917565:H917566 JD917565:JD917566 SZ917565:SZ917566 ACV917565:ACV917566 AMR917565:AMR917566 AWN917565:AWN917566 BGJ917565:BGJ917566 BQF917565:BQF917566 CAB917565:CAB917566 CJX917565:CJX917566 CTT917565:CTT917566 DDP917565:DDP917566 DNL917565:DNL917566 DXH917565:DXH917566 EHD917565:EHD917566 EQZ917565:EQZ917566 FAV917565:FAV917566 FKR917565:FKR917566 FUN917565:FUN917566 GEJ917565:GEJ917566 GOF917565:GOF917566 GYB917565:GYB917566 HHX917565:HHX917566 HRT917565:HRT917566 IBP917565:IBP917566 ILL917565:ILL917566 IVH917565:IVH917566 JFD917565:JFD917566 JOZ917565:JOZ917566 JYV917565:JYV917566 KIR917565:KIR917566 KSN917565:KSN917566 LCJ917565:LCJ917566 LMF917565:LMF917566 LWB917565:LWB917566 MFX917565:MFX917566 MPT917565:MPT917566 MZP917565:MZP917566 NJL917565:NJL917566 NTH917565:NTH917566 ODD917565:ODD917566 OMZ917565:OMZ917566 OWV917565:OWV917566 PGR917565:PGR917566 PQN917565:PQN917566 QAJ917565:QAJ917566 QKF917565:QKF917566 QUB917565:QUB917566 RDX917565:RDX917566 RNT917565:RNT917566 RXP917565:RXP917566 SHL917565:SHL917566 SRH917565:SRH917566 TBD917565:TBD917566 TKZ917565:TKZ917566 TUV917565:TUV917566 UER917565:UER917566 UON917565:UON917566 UYJ917565:UYJ917566 VIF917565:VIF917566 VSB917565:VSB917566 WBX917565:WBX917566 WLT917565:WLT917566 WVP917565:WVP917566 H983101:H983102 JD983101:JD983102 SZ983101:SZ983102 ACV983101:ACV983102 AMR983101:AMR983102 AWN983101:AWN983102 BGJ983101:BGJ983102 BQF983101:BQF983102 CAB983101:CAB983102 CJX983101:CJX983102 CTT983101:CTT983102 DDP983101:DDP983102 DNL983101:DNL983102 DXH983101:DXH983102 EHD983101:EHD983102 EQZ983101:EQZ983102 FAV983101:FAV983102 FKR983101:FKR983102 FUN983101:FUN983102 GEJ983101:GEJ983102 GOF983101:GOF983102 GYB983101:GYB983102 HHX983101:HHX983102 HRT983101:HRT983102 IBP983101:IBP983102 ILL983101:ILL983102 IVH983101:IVH983102 JFD983101:JFD983102 JOZ983101:JOZ983102 JYV983101:JYV983102 KIR983101:KIR983102 KSN983101:KSN983102 LCJ983101:LCJ983102 LMF983101:LMF983102 LWB983101:LWB983102 MFX983101:MFX983102 MPT983101:MPT983102 MZP983101:MZP983102 NJL983101:NJL983102 NTH983101:NTH983102 ODD983101:ODD983102 OMZ983101:OMZ983102 OWV983101:OWV983102 PGR983101:PGR983102 PQN983101:PQN983102 QAJ983101:QAJ983102 QKF983101:QKF983102 QUB983101:QUB983102 RDX983101:RDX983102 RNT983101:RNT983102 RXP983101:RXP983102 SHL983101:SHL983102 SRH983101:SRH983102 TBD983101:TBD983102 TKZ983101:TKZ983102 TUV983101:TUV983102 UER983101:UER983102 UON983101:UON983102 UYJ983101:UYJ983102 VIF983101:VIF983102 VSB983101:VSB983102 WBX983101:WBX983102 WLT983101:WLT983102 WVP983101:WVP983102 VIF983084:VIF983087 JJ39:JJ41 TF39:TF41 ADB39:ADB41 AMX39:AMX41 AWT39:AWT41 BGP39:BGP41 BQL39:BQL41 CAH39:CAH41 CKD39:CKD41 CTZ39:CTZ41 DDV39:DDV41 DNR39:DNR41 DXN39:DXN41 EHJ39:EHJ41 ERF39:ERF41 FBB39:FBB41 FKX39:FKX41 FUT39:FUT41 GEP39:GEP41 GOL39:GOL41 GYH39:GYH41 HID39:HID41 HRZ39:HRZ41 IBV39:IBV41 ILR39:ILR41 IVN39:IVN41 JFJ39:JFJ41 JPF39:JPF41 JZB39:JZB41 KIX39:KIX41 KST39:KST41 LCP39:LCP41 LML39:LML41 LWH39:LWH41 MGD39:MGD41 MPZ39:MPZ41 MZV39:MZV41 NJR39:NJR41 NTN39:NTN41 ODJ39:ODJ41 ONF39:ONF41 OXB39:OXB41 PGX39:PGX41 PQT39:PQT41 QAP39:QAP41 QKL39:QKL41 QUH39:QUH41 RED39:RED41 RNZ39:RNZ41 RXV39:RXV41 SHR39:SHR41 SRN39:SRN41 TBJ39:TBJ41 TLF39:TLF41 TVB39:TVB41 UEX39:UEX41 UOT39:UOT41 UYP39:UYP41 VIL39:VIL41 VSH39:VSH41 WCD39:WCD41 WLZ39:WLZ41 WVV39:WVV41 N65580:N65582 JJ65580:JJ65582 TF65580:TF65582 ADB65580:ADB65582 AMX65580:AMX65582 AWT65580:AWT65582 BGP65580:BGP65582 BQL65580:BQL65582 CAH65580:CAH65582 CKD65580:CKD65582 CTZ65580:CTZ65582 DDV65580:DDV65582 DNR65580:DNR65582 DXN65580:DXN65582 EHJ65580:EHJ65582 ERF65580:ERF65582 FBB65580:FBB65582 FKX65580:FKX65582 FUT65580:FUT65582 GEP65580:GEP65582 GOL65580:GOL65582 GYH65580:GYH65582 HID65580:HID65582 HRZ65580:HRZ65582 IBV65580:IBV65582 ILR65580:ILR65582 IVN65580:IVN65582 JFJ65580:JFJ65582 JPF65580:JPF65582 JZB65580:JZB65582 KIX65580:KIX65582 KST65580:KST65582 LCP65580:LCP65582 LML65580:LML65582 LWH65580:LWH65582 MGD65580:MGD65582 MPZ65580:MPZ65582 MZV65580:MZV65582 NJR65580:NJR65582 NTN65580:NTN65582 ODJ65580:ODJ65582 ONF65580:ONF65582 OXB65580:OXB65582 PGX65580:PGX65582 PQT65580:PQT65582 QAP65580:QAP65582 QKL65580:QKL65582 QUH65580:QUH65582 RED65580:RED65582 RNZ65580:RNZ65582 RXV65580:RXV65582 SHR65580:SHR65582 SRN65580:SRN65582 TBJ65580:TBJ65582 TLF65580:TLF65582 TVB65580:TVB65582 UEX65580:UEX65582 UOT65580:UOT65582 UYP65580:UYP65582 VIL65580:VIL65582 VSH65580:VSH65582 WCD65580:WCD65582 WLZ65580:WLZ65582 WVV65580:WVV65582 N131116:N131118 JJ131116:JJ131118 TF131116:TF131118 ADB131116:ADB131118 AMX131116:AMX131118 AWT131116:AWT131118 BGP131116:BGP131118 BQL131116:BQL131118 CAH131116:CAH131118 CKD131116:CKD131118 CTZ131116:CTZ131118 DDV131116:DDV131118 DNR131116:DNR131118 DXN131116:DXN131118 EHJ131116:EHJ131118 ERF131116:ERF131118 FBB131116:FBB131118 FKX131116:FKX131118 FUT131116:FUT131118 GEP131116:GEP131118 GOL131116:GOL131118 GYH131116:GYH131118 HID131116:HID131118 HRZ131116:HRZ131118 IBV131116:IBV131118 ILR131116:ILR131118 IVN131116:IVN131118 JFJ131116:JFJ131118 JPF131116:JPF131118 JZB131116:JZB131118 KIX131116:KIX131118 KST131116:KST131118 LCP131116:LCP131118 LML131116:LML131118 LWH131116:LWH131118 MGD131116:MGD131118 MPZ131116:MPZ131118 MZV131116:MZV131118 NJR131116:NJR131118 NTN131116:NTN131118 ODJ131116:ODJ131118 ONF131116:ONF131118 OXB131116:OXB131118 PGX131116:PGX131118 PQT131116:PQT131118 QAP131116:QAP131118 QKL131116:QKL131118 QUH131116:QUH131118 RED131116:RED131118 RNZ131116:RNZ131118 RXV131116:RXV131118 SHR131116:SHR131118 SRN131116:SRN131118 TBJ131116:TBJ131118 TLF131116:TLF131118 TVB131116:TVB131118 UEX131116:UEX131118 UOT131116:UOT131118 UYP131116:UYP131118 VIL131116:VIL131118 VSH131116:VSH131118 WCD131116:WCD131118 WLZ131116:WLZ131118 WVV131116:WVV131118 N196652:N196654 JJ196652:JJ196654 TF196652:TF196654 ADB196652:ADB196654 AMX196652:AMX196654 AWT196652:AWT196654 BGP196652:BGP196654 BQL196652:BQL196654 CAH196652:CAH196654 CKD196652:CKD196654 CTZ196652:CTZ196654 DDV196652:DDV196654 DNR196652:DNR196654 DXN196652:DXN196654 EHJ196652:EHJ196654 ERF196652:ERF196654 FBB196652:FBB196654 FKX196652:FKX196654 FUT196652:FUT196654 GEP196652:GEP196654 GOL196652:GOL196654 GYH196652:GYH196654 HID196652:HID196654 HRZ196652:HRZ196654 IBV196652:IBV196654 ILR196652:ILR196654 IVN196652:IVN196654 JFJ196652:JFJ196654 JPF196652:JPF196654 JZB196652:JZB196654 KIX196652:KIX196654 KST196652:KST196654 LCP196652:LCP196654 LML196652:LML196654 LWH196652:LWH196654 MGD196652:MGD196654 MPZ196652:MPZ196654 MZV196652:MZV196654 NJR196652:NJR196654 NTN196652:NTN196654 ODJ196652:ODJ196654 ONF196652:ONF196654 OXB196652:OXB196654 PGX196652:PGX196654 PQT196652:PQT196654 QAP196652:QAP196654 QKL196652:QKL196654 QUH196652:QUH196654 RED196652:RED196654 RNZ196652:RNZ196654 RXV196652:RXV196654 SHR196652:SHR196654 SRN196652:SRN196654 TBJ196652:TBJ196654 TLF196652:TLF196654 TVB196652:TVB196654 UEX196652:UEX196654 UOT196652:UOT196654 UYP196652:UYP196654 VIL196652:VIL196654 VSH196652:VSH196654 WCD196652:WCD196654 WLZ196652:WLZ196654 WVV196652:WVV196654 N262188:N262190 JJ262188:JJ262190 TF262188:TF262190 ADB262188:ADB262190 AMX262188:AMX262190 AWT262188:AWT262190 BGP262188:BGP262190 BQL262188:BQL262190 CAH262188:CAH262190 CKD262188:CKD262190 CTZ262188:CTZ262190 DDV262188:DDV262190 DNR262188:DNR262190 DXN262188:DXN262190 EHJ262188:EHJ262190 ERF262188:ERF262190 FBB262188:FBB262190 FKX262188:FKX262190 FUT262188:FUT262190 GEP262188:GEP262190 GOL262188:GOL262190 GYH262188:GYH262190 HID262188:HID262190 HRZ262188:HRZ262190 IBV262188:IBV262190 ILR262188:ILR262190 IVN262188:IVN262190 JFJ262188:JFJ262190 JPF262188:JPF262190 JZB262188:JZB262190 KIX262188:KIX262190 KST262188:KST262190 LCP262188:LCP262190 LML262188:LML262190 LWH262188:LWH262190 MGD262188:MGD262190 MPZ262188:MPZ262190 MZV262188:MZV262190 NJR262188:NJR262190 NTN262188:NTN262190 ODJ262188:ODJ262190 ONF262188:ONF262190 OXB262188:OXB262190 PGX262188:PGX262190 PQT262188:PQT262190 QAP262188:QAP262190 QKL262188:QKL262190 QUH262188:QUH262190 RED262188:RED262190 RNZ262188:RNZ262190 RXV262188:RXV262190 SHR262188:SHR262190 SRN262188:SRN262190 TBJ262188:TBJ262190 TLF262188:TLF262190 TVB262188:TVB262190 UEX262188:UEX262190 UOT262188:UOT262190 UYP262188:UYP262190 VIL262188:VIL262190 VSH262188:VSH262190 WCD262188:WCD262190 WLZ262188:WLZ262190 WVV262188:WVV262190 N327724:N327726 JJ327724:JJ327726 TF327724:TF327726 ADB327724:ADB327726 AMX327724:AMX327726 AWT327724:AWT327726 BGP327724:BGP327726 BQL327724:BQL327726 CAH327724:CAH327726 CKD327724:CKD327726 CTZ327724:CTZ327726 DDV327724:DDV327726 DNR327724:DNR327726 DXN327724:DXN327726 EHJ327724:EHJ327726 ERF327724:ERF327726 FBB327724:FBB327726 FKX327724:FKX327726 FUT327724:FUT327726 GEP327724:GEP327726 GOL327724:GOL327726 GYH327724:GYH327726 HID327724:HID327726 HRZ327724:HRZ327726 IBV327724:IBV327726 ILR327724:ILR327726 IVN327724:IVN327726 JFJ327724:JFJ327726 JPF327724:JPF327726 JZB327724:JZB327726 KIX327724:KIX327726 KST327724:KST327726 LCP327724:LCP327726 LML327724:LML327726 LWH327724:LWH327726 MGD327724:MGD327726 MPZ327724:MPZ327726 MZV327724:MZV327726 NJR327724:NJR327726 NTN327724:NTN327726 ODJ327724:ODJ327726 ONF327724:ONF327726 OXB327724:OXB327726 PGX327724:PGX327726 PQT327724:PQT327726 QAP327724:QAP327726 QKL327724:QKL327726 QUH327724:QUH327726 RED327724:RED327726 RNZ327724:RNZ327726 RXV327724:RXV327726 SHR327724:SHR327726 SRN327724:SRN327726 TBJ327724:TBJ327726 TLF327724:TLF327726 TVB327724:TVB327726 UEX327724:UEX327726 UOT327724:UOT327726 UYP327724:UYP327726 VIL327724:VIL327726 VSH327724:VSH327726 WCD327724:WCD327726 WLZ327724:WLZ327726 WVV327724:WVV327726 N393260:N393262 JJ393260:JJ393262 TF393260:TF393262 ADB393260:ADB393262 AMX393260:AMX393262 AWT393260:AWT393262 BGP393260:BGP393262 BQL393260:BQL393262 CAH393260:CAH393262 CKD393260:CKD393262 CTZ393260:CTZ393262 DDV393260:DDV393262 DNR393260:DNR393262 DXN393260:DXN393262 EHJ393260:EHJ393262 ERF393260:ERF393262 FBB393260:FBB393262 FKX393260:FKX393262 FUT393260:FUT393262 GEP393260:GEP393262 GOL393260:GOL393262 GYH393260:GYH393262 HID393260:HID393262 HRZ393260:HRZ393262 IBV393260:IBV393262 ILR393260:ILR393262 IVN393260:IVN393262 JFJ393260:JFJ393262 JPF393260:JPF393262 JZB393260:JZB393262 KIX393260:KIX393262 KST393260:KST393262 LCP393260:LCP393262 LML393260:LML393262 LWH393260:LWH393262 MGD393260:MGD393262 MPZ393260:MPZ393262 MZV393260:MZV393262 NJR393260:NJR393262 NTN393260:NTN393262 ODJ393260:ODJ393262 ONF393260:ONF393262 OXB393260:OXB393262 PGX393260:PGX393262 PQT393260:PQT393262 QAP393260:QAP393262 QKL393260:QKL393262 QUH393260:QUH393262 RED393260:RED393262 RNZ393260:RNZ393262 RXV393260:RXV393262 SHR393260:SHR393262 SRN393260:SRN393262 TBJ393260:TBJ393262 TLF393260:TLF393262 TVB393260:TVB393262 UEX393260:UEX393262 UOT393260:UOT393262 UYP393260:UYP393262 VIL393260:VIL393262 VSH393260:VSH393262 WCD393260:WCD393262 WLZ393260:WLZ393262 WVV393260:WVV393262 N458796:N458798 JJ458796:JJ458798 TF458796:TF458798 ADB458796:ADB458798 AMX458796:AMX458798 AWT458796:AWT458798 BGP458796:BGP458798 BQL458796:BQL458798 CAH458796:CAH458798 CKD458796:CKD458798 CTZ458796:CTZ458798 DDV458796:DDV458798 DNR458796:DNR458798 DXN458796:DXN458798 EHJ458796:EHJ458798 ERF458796:ERF458798 FBB458796:FBB458798 FKX458796:FKX458798 FUT458796:FUT458798 GEP458796:GEP458798 GOL458796:GOL458798 GYH458796:GYH458798 HID458796:HID458798 HRZ458796:HRZ458798 IBV458796:IBV458798 ILR458796:ILR458798 IVN458796:IVN458798 JFJ458796:JFJ458798 JPF458796:JPF458798 JZB458796:JZB458798 KIX458796:KIX458798 KST458796:KST458798 LCP458796:LCP458798 LML458796:LML458798 LWH458796:LWH458798 MGD458796:MGD458798 MPZ458796:MPZ458798 MZV458796:MZV458798 NJR458796:NJR458798 NTN458796:NTN458798 ODJ458796:ODJ458798 ONF458796:ONF458798 OXB458796:OXB458798 PGX458796:PGX458798 PQT458796:PQT458798 QAP458796:QAP458798 QKL458796:QKL458798 QUH458796:QUH458798 RED458796:RED458798 RNZ458796:RNZ458798 RXV458796:RXV458798 SHR458796:SHR458798 SRN458796:SRN458798 TBJ458796:TBJ458798 TLF458796:TLF458798 TVB458796:TVB458798 UEX458796:UEX458798 UOT458796:UOT458798 UYP458796:UYP458798 VIL458796:VIL458798 VSH458796:VSH458798 WCD458796:WCD458798 WLZ458796:WLZ458798 WVV458796:WVV458798 N524332:N524334 JJ524332:JJ524334 TF524332:TF524334 ADB524332:ADB524334 AMX524332:AMX524334 AWT524332:AWT524334 BGP524332:BGP524334 BQL524332:BQL524334 CAH524332:CAH524334 CKD524332:CKD524334 CTZ524332:CTZ524334 DDV524332:DDV524334 DNR524332:DNR524334 DXN524332:DXN524334 EHJ524332:EHJ524334 ERF524332:ERF524334 FBB524332:FBB524334 FKX524332:FKX524334 FUT524332:FUT524334 GEP524332:GEP524334 GOL524332:GOL524334 GYH524332:GYH524334 HID524332:HID524334 HRZ524332:HRZ524334 IBV524332:IBV524334 ILR524332:ILR524334 IVN524332:IVN524334 JFJ524332:JFJ524334 JPF524332:JPF524334 JZB524332:JZB524334 KIX524332:KIX524334 KST524332:KST524334 LCP524332:LCP524334 LML524332:LML524334 LWH524332:LWH524334 MGD524332:MGD524334 MPZ524332:MPZ524334 MZV524332:MZV524334 NJR524332:NJR524334 NTN524332:NTN524334 ODJ524332:ODJ524334 ONF524332:ONF524334 OXB524332:OXB524334 PGX524332:PGX524334 PQT524332:PQT524334 QAP524332:QAP524334 QKL524332:QKL524334 QUH524332:QUH524334 RED524332:RED524334 RNZ524332:RNZ524334 RXV524332:RXV524334 SHR524332:SHR524334 SRN524332:SRN524334 TBJ524332:TBJ524334 TLF524332:TLF524334 TVB524332:TVB524334 UEX524332:UEX524334 UOT524332:UOT524334 UYP524332:UYP524334 VIL524332:VIL524334 VSH524332:VSH524334 WCD524332:WCD524334 WLZ524332:WLZ524334 WVV524332:WVV524334 N589868:N589870 JJ589868:JJ589870 TF589868:TF589870 ADB589868:ADB589870 AMX589868:AMX589870 AWT589868:AWT589870 BGP589868:BGP589870 BQL589868:BQL589870 CAH589868:CAH589870 CKD589868:CKD589870 CTZ589868:CTZ589870 DDV589868:DDV589870 DNR589868:DNR589870 DXN589868:DXN589870 EHJ589868:EHJ589870 ERF589868:ERF589870 FBB589868:FBB589870 FKX589868:FKX589870 FUT589868:FUT589870 GEP589868:GEP589870 GOL589868:GOL589870 GYH589868:GYH589870 HID589868:HID589870 HRZ589868:HRZ589870 IBV589868:IBV589870 ILR589868:ILR589870 IVN589868:IVN589870 JFJ589868:JFJ589870 JPF589868:JPF589870 JZB589868:JZB589870 KIX589868:KIX589870 KST589868:KST589870 LCP589868:LCP589870 LML589868:LML589870 LWH589868:LWH589870 MGD589868:MGD589870 MPZ589868:MPZ589870 MZV589868:MZV589870 NJR589868:NJR589870 NTN589868:NTN589870 ODJ589868:ODJ589870 ONF589868:ONF589870 OXB589868:OXB589870 PGX589868:PGX589870 PQT589868:PQT589870 QAP589868:QAP589870 QKL589868:QKL589870 QUH589868:QUH589870 RED589868:RED589870 RNZ589868:RNZ589870 RXV589868:RXV589870 SHR589868:SHR589870 SRN589868:SRN589870 TBJ589868:TBJ589870 TLF589868:TLF589870 TVB589868:TVB589870 UEX589868:UEX589870 UOT589868:UOT589870 UYP589868:UYP589870 VIL589868:VIL589870 VSH589868:VSH589870 WCD589868:WCD589870 WLZ589868:WLZ589870 WVV589868:WVV589870 N655404:N655406 JJ655404:JJ655406 TF655404:TF655406 ADB655404:ADB655406 AMX655404:AMX655406 AWT655404:AWT655406 BGP655404:BGP655406 BQL655404:BQL655406 CAH655404:CAH655406 CKD655404:CKD655406 CTZ655404:CTZ655406 DDV655404:DDV655406 DNR655404:DNR655406 DXN655404:DXN655406 EHJ655404:EHJ655406 ERF655404:ERF655406 FBB655404:FBB655406 FKX655404:FKX655406 FUT655404:FUT655406 GEP655404:GEP655406 GOL655404:GOL655406 GYH655404:GYH655406 HID655404:HID655406 HRZ655404:HRZ655406 IBV655404:IBV655406 ILR655404:ILR655406 IVN655404:IVN655406 JFJ655404:JFJ655406 JPF655404:JPF655406 JZB655404:JZB655406 KIX655404:KIX655406 KST655404:KST655406 LCP655404:LCP655406 LML655404:LML655406 LWH655404:LWH655406 MGD655404:MGD655406 MPZ655404:MPZ655406 MZV655404:MZV655406 NJR655404:NJR655406 NTN655404:NTN655406 ODJ655404:ODJ655406 ONF655404:ONF655406 OXB655404:OXB655406 PGX655404:PGX655406 PQT655404:PQT655406 QAP655404:QAP655406 QKL655404:QKL655406 QUH655404:QUH655406 RED655404:RED655406 RNZ655404:RNZ655406 RXV655404:RXV655406 SHR655404:SHR655406 SRN655404:SRN655406 TBJ655404:TBJ655406 TLF655404:TLF655406 TVB655404:TVB655406 UEX655404:UEX655406 UOT655404:UOT655406 UYP655404:UYP655406 VIL655404:VIL655406 VSH655404:VSH655406 WCD655404:WCD655406 WLZ655404:WLZ655406 WVV655404:WVV655406 N720940:N720942 JJ720940:JJ720942 TF720940:TF720942 ADB720940:ADB720942 AMX720940:AMX720942 AWT720940:AWT720942 BGP720940:BGP720942 BQL720940:BQL720942 CAH720940:CAH720942 CKD720940:CKD720942 CTZ720940:CTZ720942 DDV720940:DDV720942 DNR720940:DNR720942 DXN720940:DXN720942 EHJ720940:EHJ720942 ERF720940:ERF720942 FBB720940:FBB720942 FKX720940:FKX720942 FUT720940:FUT720942 GEP720940:GEP720942 GOL720940:GOL720942 GYH720940:GYH720942 HID720940:HID720942 HRZ720940:HRZ720942 IBV720940:IBV720942 ILR720940:ILR720942 IVN720940:IVN720942 JFJ720940:JFJ720942 JPF720940:JPF720942 JZB720940:JZB720942 KIX720940:KIX720942 KST720940:KST720942 LCP720940:LCP720942 LML720940:LML720942 LWH720940:LWH720942 MGD720940:MGD720942 MPZ720940:MPZ720942 MZV720940:MZV720942 NJR720940:NJR720942 NTN720940:NTN720942 ODJ720940:ODJ720942 ONF720940:ONF720942 OXB720940:OXB720942 PGX720940:PGX720942 PQT720940:PQT720942 QAP720940:QAP720942 QKL720940:QKL720942 QUH720940:QUH720942 RED720940:RED720942 RNZ720940:RNZ720942 RXV720940:RXV720942 SHR720940:SHR720942 SRN720940:SRN720942 TBJ720940:TBJ720942 TLF720940:TLF720942 TVB720940:TVB720942 UEX720940:UEX720942 UOT720940:UOT720942 UYP720940:UYP720942 VIL720940:VIL720942 VSH720940:VSH720942 WCD720940:WCD720942 WLZ720940:WLZ720942 WVV720940:WVV720942 N786476:N786478 JJ786476:JJ786478 TF786476:TF786478 ADB786476:ADB786478 AMX786476:AMX786478 AWT786476:AWT786478 BGP786476:BGP786478 BQL786476:BQL786478 CAH786476:CAH786478 CKD786476:CKD786478 CTZ786476:CTZ786478 DDV786476:DDV786478 DNR786476:DNR786478 DXN786476:DXN786478 EHJ786476:EHJ786478 ERF786476:ERF786478 FBB786476:FBB786478 FKX786476:FKX786478 FUT786476:FUT786478 GEP786476:GEP786478 GOL786476:GOL786478 GYH786476:GYH786478 HID786476:HID786478 HRZ786476:HRZ786478 IBV786476:IBV786478 ILR786476:ILR786478 IVN786476:IVN786478 JFJ786476:JFJ786478 JPF786476:JPF786478 JZB786476:JZB786478 KIX786476:KIX786478 KST786476:KST786478 LCP786476:LCP786478 LML786476:LML786478 LWH786476:LWH786478 MGD786476:MGD786478 MPZ786476:MPZ786478 MZV786476:MZV786478 NJR786476:NJR786478 NTN786476:NTN786478 ODJ786476:ODJ786478 ONF786476:ONF786478 OXB786476:OXB786478 PGX786476:PGX786478 PQT786476:PQT786478 QAP786476:QAP786478 QKL786476:QKL786478 QUH786476:QUH786478 RED786476:RED786478 RNZ786476:RNZ786478 RXV786476:RXV786478 SHR786476:SHR786478 SRN786476:SRN786478 TBJ786476:TBJ786478 TLF786476:TLF786478 TVB786476:TVB786478 UEX786476:UEX786478 UOT786476:UOT786478 UYP786476:UYP786478 VIL786476:VIL786478 VSH786476:VSH786478 WCD786476:WCD786478 WLZ786476:WLZ786478 WVV786476:WVV786478 N852012:N852014 JJ852012:JJ852014 TF852012:TF852014 ADB852012:ADB852014 AMX852012:AMX852014 AWT852012:AWT852014 BGP852012:BGP852014 BQL852012:BQL852014 CAH852012:CAH852014 CKD852012:CKD852014 CTZ852012:CTZ852014 DDV852012:DDV852014 DNR852012:DNR852014 DXN852012:DXN852014 EHJ852012:EHJ852014 ERF852012:ERF852014 FBB852012:FBB852014 FKX852012:FKX852014 FUT852012:FUT852014 GEP852012:GEP852014 GOL852012:GOL852014 GYH852012:GYH852014 HID852012:HID852014 HRZ852012:HRZ852014 IBV852012:IBV852014 ILR852012:ILR852014 IVN852012:IVN852014 JFJ852012:JFJ852014 JPF852012:JPF852014 JZB852012:JZB852014 KIX852012:KIX852014 KST852012:KST852014 LCP852012:LCP852014 LML852012:LML852014 LWH852012:LWH852014 MGD852012:MGD852014 MPZ852012:MPZ852014 MZV852012:MZV852014 NJR852012:NJR852014 NTN852012:NTN852014 ODJ852012:ODJ852014 ONF852012:ONF852014 OXB852012:OXB852014 PGX852012:PGX852014 PQT852012:PQT852014 QAP852012:QAP852014 QKL852012:QKL852014 QUH852012:QUH852014 RED852012:RED852014 RNZ852012:RNZ852014 RXV852012:RXV852014 SHR852012:SHR852014 SRN852012:SRN852014 TBJ852012:TBJ852014 TLF852012:TLF852014 TVB852012:TVB852014 UEX852012:UEX852014 UOT852012:UOT852014 UYP852012:UYP852014 VIL852012:VIL852014 VSH852012:VSH852014 WCD852012:WCD852014 WLZ852012:WLZ852014 WVV852012:WVV852014 N917548:N917550 JJ917548:JJ917550 TF917548:TF917550 ADB917548:ADB917550 AMX917548:AMX917550 AWT917548:AWT917550 BGP917548:BGP917550 BQL917548:BQL917550 CAH917548:CAH917550 CKD917548:CKD917550 CTZ917548:CTZ917550 DDV917548:DDV917550 DNR917548:DNR917550 DXN917548:DXN917550 EHJ917548:EHJ917550 ERF917548:ERF917550 FBB917548:FBB917550 FKX917548:FKX917550 FUT917548:FUT917550 GEP917548:GEP917550 GOL917548:GOL917550 GYH917548:GYH917550 HID917548:HID917550 HRZ917548:HRZ917550 IBV917548:IBV917550 ILR917548:ILR917550 IVN917548:IVN917550 JFJ917548:JFJ917550 JPF917548:JPF917550 JZB917548:JZB917550 KIX917548:KIX917550 KST917548:KST917550 LCP917548:LCP917550 LML917548:LML917550 LWH917548:LWH917550 MGD917548:MGD917550 MPZ917548:MPZ917550 MZV917548:MZV917550 NJR917548:NJR917550 NTN917548:NTN917550 ODJ917548:ODJ917550 ONF917548:ONF917550 OXB917548:OXB917550 PGX917548:PGX917550 PQT917548:PQT917550 QAP917548:QAP917550 QKL917548:QKL917550 QUH917548:QUH917550 RED917548:RED917550 RNZ917548:RNZ917550 RXV917548:RXV917550 SHR917548:SHR917550 SRN917548:SRN917550 TBJ917548:TBJ917550 TLF917548:TLF917550 TVB917548:TVB917550 UEX917548:UEX917550 UOT917548:UOT917550 UYP917548:UYP917550 VIL917548:VIL917550 VSH917548:VSH917550 WCD917548:WCD917550 WLZ917548:WLZ917550 WVV917548:WVV917550 N983084:N983086 JJ983084:JJ983086 TF983084:TF983086 ADB983084:ADB983086 AMX983084:AMX983086 AWT983084:AWT983086 BGP983084:BGP983086 BQL983084:BQL983086 CAH983084:CAH983086 CKD983084:CKD983086 CTZ983084:CTZ983086 DDV983084:DDV983086 DNR983084:DNR983086 DXN983084:DXN983086 EHJ983084:EHJ983086 ERF983084:ERF983086 FBB983084:FBB983086 FKX983084:FKX983086 FUT983084:FUT983086 GEP983084:GEP983086 GOL983084:GOL983086 GYH983084:GYH983086 HID983084:HID983086 HRZ983084:HRZ983086 IBV983084:IBV983086 ILR983084:ILR983086 IVN983084:IVN983086 JFJ983084:JFJ983086 JPF983084:JPF983086 JZB983084:JZB983086 KIX983084:KIX983086 KST983084:KST983086 LCP983084:LCP983086 LML983084:LML983086 LWH983084:LWH983086 MGD983084:MGD983086 MPZ983084:MPZ983086 MZV983084:MZV983086 NJR983084:NJR983086 NTN983084:NTN983086 ODJ983084:ODJ983086 ONF983084:ONF983086 OXB983084:OXB983086 PGX983084:PGX983086 PQT983084:PQT983086 QAP983084:QAP983086 QKL983084:QKL983086 QUH983084:QUH983086 RED983084:RED983086 RNZ983084:RNZ983086 RXV983084:RXV983086 SHR983084:SHR983086 SRN983084:SRN983086 TBJ983084:TBJ983086 TLF983084:TLF983086 TVB983084:TVB983086 UEX983084:UEX983086 UOT983084:UOT983086 UYP983084:UYP983086 VIL983084:VIL983086 VSH983084:VSH983086 WCD983084:WCD983086 WLZ983084:WLZ983086 WVV983084:WVV983086 UYJ983084:UYJ983087 JD39:JD42 SZ39:SZ42 ACV39:ACV42 AMR39:AMR42 AWN39:AWN42 BGJ39:BGJ42 BQF39:BQF42 CAB39:CAB42 CJX39:CJX42 CTT39:CTT42 DDP39:DDP42 DNL39:DNL42 DXH39:DXH42 EHD39:EHD42 EQZ39:EQZ42 FAV39:FAV42 FKR39:FKR42 FUN39:FUN42 GEJ39:GEJ42 GOF39:GOF42 GYB39:GYB42 HHX39:HHX42 HRT39:HRT42 IBP39:IBP42 ILL39:ILL42 IVH39:IVH42 JFD39:JFD42 JOZ39:JOZ42 JYV39:JYV42 KIR39:KIR42 KSN39:KSN42 LCJ39:LCJ42 LMF39:LMF42 LWB39:LWB42 MFX39:MFX42 MPT39:MPT42 MZP39:MZP42 NJL39:NJL42 NTH39:NTH42 ODD39:ODD42 OMZ39:OMZ42 OWV39:OWV42 PGR39:PGR42 PQN39:PQN42 QAJ39:QAJ42 QKF39:QKF42 QUB39:QUB42 RDX39:RDX42 RNT39:RNT42 RXP39:RXP42 SHL39:SHL42 SRH39:SRH42 TBD39:TBD42 TKZ39:TKZ42 TUV39:TUV42 UER39:UER42 UON39:UON42 UYJ39:UYJ42 VIF39:VIF42 VSB39:VSB42 WBX39:WBX42 WLT39:WLT42 WVP39:WVP42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xm:sqref>
        </x14:dataValidation>
      </x14:dataValidations>
    </ext>
  </extLst>
</worksheet>
</file>

<file path=xl/worksheets/sheet15.xml><?xml version="1.0" encoding="utf-8"?>
<worksheet xmlns="http://schemas.openxmlformats.org/spreadsheetml/2006/main" xmlns:r="http://schemas.openxmlformats.org/officeDocument/2006/relationships">
  <dimension ref="B1:F57"/>
  <sheetViews>
    <sheetView view="pageBreakPreview" topLeftCell="A48" zoomScaleNormal="130" zoomScaleSheetLayoutView="100" workbookViewId="0">
      <selection activeCell="E57" sqref="E10:F57"/>
    </sheetView>
  </sheetViews>
  <sheetFormatPr defaultRowHeight="13.5"/>
  <cols>
    <col min="1" max="1" width="9" style="1914"/>
    <col min="2" max="2" width="9.125" style="1914" customWidth="1"/>
    <col min="3" max="3" width="6.25" style="1914" customWidth="1"/>
    <col min="4" max="4" width="26.25" style="1914" customWidth="1"/>
    <col min="5" max="5" width="38.25" style="1914" customWidth="1"/>
    <col min="6" max="257" width="9" style="1914"/>
    <col min="258" max="258" width="9.125" style="1914" customWidth="1"/>
    <col min="259" max="259" width="6.25" style="1914" customWidth="1"/>
    <col min="260" max="260" width="26.25" style="1914" customWidth="1"/>
    <col min="261" max="261" width="38.25" style="1914" customWidth="1"/>
    <col min="262" max="513" width="9" style="1914"/>
    <col min="514" max="514" width="9.125" style="1914" customWidth="1"/>
    <col min="515" max="515" width="6.25" style="1914" customWidth="1"/>
    <col min="516" max="516" width="26.25" style="1914" customWidth="1"/>
    <col min="517" max="517" width="38.25" style="1914" customWidth="1"/>
    <col min="518" max="769" width="9" style="1914"/>
    <col min="770" max="770" width="9.125" style="1914" customWidth="1"/>
    <col min="771" max="771" width="6.25" style="1914" customWidth="1"/>
    <col min="772" max="772" width="26.25" style="1914" customWidth="1"/>
    <col min="773" max="773" width="38.25" style="1914" customWidth="1"/>
    <col min="774" max="1025" width="9" style="1914"/>
    <col min="1026" max="1026" width="9.125" style="1914" customWidth="1"/>
    <col min="1027" max="1027" width="6.25" style="1914" customWidth="1"/>
    <col min="1028" max="1028" width="26.25" style="1914" customWidth="1"/>
    <col min="1029" max="1029" width="38.25" style="1914" customWidth="1"/>
    <col min="1030" max="1281" width="9" style="1914"/>
    <col min="1282" max="1282" width="9.125" style="1914" customWidth="1"/>
    <col min="1283" max="1283" width="6.25" style="1914" customWidth="1"/>
    <col min="1284" max="1284" width="26.25" style="1914" customWidth="1"/>
    <col min="1285" max="1285" width="38.25" style="1914" customWidth="1"/>
    <col min="1286" max="1537" width="9" style="1914"/>
    <col min="1538" max="1538" width="9.125" style="1914" customWidth="1"/>
    <col min="1539" max="1539" width="6.25" style="1914" customWidth="1"/>
    <col min="1540" max="1540" width="26.25" style="1914" customWidth="1"/>
    <col min="1541" max="1541" width="38.25" style="1914" customWidth="1"/>
    <col min="1542" max="1793" width="9" style="1914"/>
    <col min="1794" max="1794" width="9.125" style="1914" customWidth="1"/>
    <col min="1795" max="1795" width="6.25" style="1914" customWidth="1"/>
    <col min="1796" max="1796" width="26.25" style="1914" customWidth="1"/>
    <col min="1797" max="1797" width="38.25" style="1914" customWidth="1"/>
    <col min="1798" max="2049" width="9" style="1914"/>
    <col min="2050" max="2050" width="9.125" style="1914" customWidth="1"/>
    <col min="2051" max="2051" width="6.25" style="1914" customWidth="1"/>
    <col min="2052" max="2052" width="26.25" style="1914" customWidth="1"/>
    <col min="2053" max="2053" width="38.25" style="1914" customWidth="1"/>
    <col min="2054" max="2305" width="9" style="1914"/>
    <col min="2306" max="2306" width="9.125" style="1914" customWidth="1"/>
    <col min="2307" max="2307" width="6.25" style="1914" customWidth="1"/>
    <col min="2308" max="2308" width="26.25" style="1914" customWidth="1"/>
    <col min="2309" max="2309" width="38.25" style="1914" customWidth="1"/>
    <col min="2310" max="2561" width="9" style="1914"/>
    <col min="2562" max="2562" width="9.125" style="1914" customWidth="1"/>
    <col min="2563" max="2563" width="6.25" style="1914" customWidth="1"/>
    <col min="2564" max="2564" width="26.25" style="1914" customWidth="1"/>
    <col min="2565" max="2565" width="38.25" style="1914" customWidth="1"/>
    <col min="2566" max="2817" width="9" style="1914"/>
    <col min="2818" max="2818" width="9.125" style="1914" customWidth="1"/>
    <col min="2819" max="2819" width="6.25" style="1914" customWidth="1"/>
    <col min="2820" max="2820" width="26.25" style="1914" customWidth="1"/>
    <col min="2821" max="2821" width="38.25" style="1914" customWidth="1"/>
    <col min="2822" max="3073" width="9" style="1914"/>
    <col min="3074" max="3074" width="9.125" style="1914" customWidth="1"/>
    <col min="3075" max="3075" width="6.25" style="1914" customWidth="1"/>
    <col min="3076" max="3076" width="26.25" style="1914" customWidth="1"/>
    <col min="3077" max="3077" width="38.25" style="1914" customWidth="1"/>
    <col min="3078" max="3329" width="9" style="1914"/>
    <col min="3330" max="3330" width="9.125" style="1914" customWidth="1"/>
    <col min="3331" max="3331" width="6.25" style="1914" customWidth="1"/>
    <col min="3332" max="3332" width="26.25" style="1914" customWidth="1"/>
    <col min="3333" max="3333" width="38.25" style="1914" customWidth="1"/>
    <col min="3334" max="3585" width="9" style="1914"/>
    <col min="3586" max="3586" width="9.125" style="1914" customWidth="1"/>
    <col min="3587" max="3587" width="6.25" style="1914" customWidth="1"/>
    <col min="3588" max="3588" width="26.25" style="1914" customWidth="1"/>
    <col min="3589" max="3589" width="38.25" style="1914" customWidth="1"/>
    <col min="3590" max="3841" width="9" style="1914"/>
    <col min="3842" max="3842" width="9.125" style="1914" customWidth="1"/>
    <col min="3843" max="3843" width="6.25" style="1914" customWidth="1"/>
    <col min="3844" max="3844" width="26.25" style="1914" customWidth="1"/>
    <col min="3845" max="3845" width="38.25" style="1914" customWidth="1"/>
    <col min="3846" max="4097" width="9" style="1914"/>
    <col min="4098" max="4098" width="9.125" style="1914" customWidth="1"/>
    <col min="4099" max="4099" width="6.25" style="1914" customWidth="1"/>
    <col min="4100" max="4100" width="26.25" style="1914" customWidth="1"/>
    <col min="4101" max="4101" width="38.25" style="1914" customWidth="1"/>
    <col min="4102" max="4353" width="9" style="1914"/>
    <col min="4354" max="4354" width="9.125" style="1914" customWidth="1"/>
    <col min="4355" max="4355" width="6.25" style="1914" customWidth="1"/>
    <col min="4356" max="4356" width="26.25" style="1914" customWidth="1"/>
    <col min="4357" max="4357" width="38.25" style="1914" customWidth="1"/>
    <col min="4358" max="4609" width="9" style="1914"/>
    <col min="4610" max="4610" width="9.125" style="1914" customWidth="1"/>
    <col min="4611" max="4611" width="6.25" style="1914" customWidth="1"/>
    <col min="4612" max="4612" width="26.25" style="1914" customWidth="1"/>
    <col min="4613" max="4613" width="38.25" style="1914" customWidth="1"/>
    <col min="4614" max="4865" width="9" style="1914"/>
    <col min="4866" max="4866" width="9.125" style="1914" customWidth="1"/>
    <col min="4867" max="4867" width="6.25" style="1914" customWidth="1"/>
    <col min="4868" max="4868" width="26.25" style="1914" customWidth="1"/>
    <col min="4869" max="4869" width="38.25" style="1914" customWidth="1"/>
    <col min="4870" max="5121" width="9" style="1914"/>
    <col min="5122" max="5122" width="9.125" style="1914" customWidth="1"/>
    <col min="5123" max="5123" width="6.25" style="1914" customWidth="1"/>
    <col min="5124" max="5124" width="26.25" style="1914" customWidth="1"/>
    <col min="5125" max="5125" width="38.25" style="1914" customWidth="1"/>
    <col min="5126" max="5377" width="9" style="1914"/>
    <col min="5378" max="5378" width="9.125" style="1914" customWidth="1"/>
    <col min="5379" max="5379" width="6.25" style="1914" customWidth="1"/>
    <col min="5380" max="5380" width="26.25" style="1914" customWidth="1"/>
    <col min="5381" max="5381" width="38.25" style="1914" customWidth="1"/>
    <col min="5382" max="5633" width="9" style="1914"/>
    <col min="5634" max="5634" width="9.125" style="1914" customWidth="1"/>
    <col min="5635" max="5635" width="6.25" style="1914" customWidth="1"/>
    <col min="5636" max="5636" width="26.25" style="1914" customWidth="1"/>
    <col min="5637" max="5637" width="38.25" style="1914" customWidth="1"/>
    <col min="5638" max="5889" width="9" style="1914"/>
    <col min="5890" max="5890" width="9.125" style="1914" customWidth="1"/>
    <col min="5891" max="5891" width="6.25" style="1914" customWidth="1"/>
    <col min="5892" max="5892" width="26.25" style="1914" customWidth="1"/>
    <col min="5893" max="5893" width="38.25" style="1914" customWidth="1"/>
    <col min="5894" max="6145" width="9" style="1914"/>
    <col min="6146" max="6146" width="9.125" style="1914" customWidth="1"/>
    <col min="6147" max="6147" width="6.25" style="1914" customWidth="1"/>
    <col min="6148" max="6148" width="26.25" style="1914" customWidth="1"/>
    <col min="6149" max="6149" width="38.25" style="1914" customWidth="1"/>
    <col min="6150" max="6401" width="9" style="1914"/>
    <col min="6402" max="6402" width="9.125" style="1914" customWidth="1"/>
    <col min="6403" max="6403" width="6.25" style="1914" customWidth="1"/>
    <col min="6404" max="6404" width="26.25" style="1914" customWidth="1"/>
    <col min="6405" max="6405" width="38.25" style="1914" customWidth="1"/>
    <col min="6406" max="6657" width="9" style="1914"/>
    <col min="6658" max="6658" width="9.125" style="1914" customWidth="1"/>
    <col min="6659" max="6659" width="6.25" style="1914" customWidth="1"/>
    <col min="6660" max="6660" width="26.25" style="1914" customWidth="1"/>
    <col min="6661" max="6661" width="38.25" style="1914" customWidth="1"/>
    <col min="6662" max="6913" width="9" style="1914"/>
    <col min="6914" max="6914" width="9.125" style="1914" customWidth="1"/>
    <col min="6915" max="6915" width="6.25" style="1914" customWidth="1"/>
    <col min="6916" max="6916" width="26.25" style="1914" customWidth="1"/>
    <col min="6917" max="6917" width="38.25" style="1914" customWidth="1"/>
    <col min="6918" max="7169" width="9" style="1914"/>
    <col min="7170" max="7170" width="9.125" style="1914" customWidth="1"/>
    <col min="7171" max="7171" width="6.25" style="1914" customWidth="1"/>
    <col min="7172" max="7172" width="26.25" style="1914" customWidth="1"/>
    <col min="7173" max="7173" width="38.25" style="1914" customWidth="1"/>
    <col min="7174" max="7425" width="9" style="1914"/>
    <col min="7426" max="7426" width="9.125" style="1914" customWidth="1"/>
    <col min="7427" max="7427" width="6.25" style="1914" customWidth="1"/>
    <col min="7428" max="7428" width="26.25" style="1914" customWidth="1"/>
    <col min="7429" max="7429" width="38.25" style="1914" customWidth="1"/>
    <col min="7430" max="7681" width="9" style="1914"/>
    <col min="7682" max="7682" width="9.125" style="1914" customWidth="1"/>
    <col min="7683" max="7683" width="6.25" style="1914" customWidth="1"/>
    <col min="7684" max="7684" width="26.25" style="1914" customWidth="1"/>
    <col min="7685" max="7685" width="38.25" style="1914" customWidth="1"/>
    <col min="7686" max="7937" width="9" style="1914"/>
    <col min="7938" max="7938" width="9.125" style="1914" customWidth="1"/>
    <col min="7939" max="7939" width="6.25" style="1914" customWidth="1"/>
    <col min="7940" max="7940" width="26.25" style="1914" customWidth="1"/>
    <col min="7941" max="7941" width="38.25" style="1914" customWidth="1"/>
    <col min="7942" max="8193" width="9" style="1914"/>
    <col min="8194" max="8194" width="9.125" style="1914" customWidth="1"/>
    <col min="8195" max="8195" width="6.25" style="1914" customWidth="1"/>
    <col min="8196" max="8196" width="26.25" style="1914" customWidth="1"/>
    <col min="8197" max="8197" width="38.25" style="1914" customWidth="1"/>
    <col min="8198" max="8449" width="9" style="1914"/>
    <col min="8450" max="8450" width="9.125" style="1914" customWidth="1"/>
    <col min="8451" max="8451" width="6.25" style="1914" customWidth="1"/>
    <col min="8452" max="8452" width="26.25" style="1914" customWidth="1"/>
    <col min="8453" max="8453" width="38.25" style="1914" customWidth="1"/>
    <col min="8454" max="8705" width="9" style="1914"/>
    <col min="8706" max="8706" width="9.125" style="1914" customWidth="1"/>
    <col min="8707" max="8707" width="6.25" style="1914" customWidth="1"/>
    <col min="8708" max="8708" width="26.25" style="1914" customWidth="1"/>
    <col min="8709" max="8709" width="38.25" style="1914" customWidth="1"/>
    <col min="8710" max="8961" width="9" style="1914"/>
    <col min="8962" max="8962" width="9.125" style="1914" customWidth="1"/>
    <col min="8963" max="8963" width="6.25" style="1914" customWidth="1"/>
    <col min="8964" max="8964" width="26.25" style="1914" customWidth="1"/>
    <col min="8965" max="8965" width="38.25" style="1914" customWidth="1"/>
    <col min="8966" max="9217" width="9" style="1914"/>
    <col min="9218" max="9218" width="9.125" style="1914" customWidth="1"/>
    <col min="9219" max="9219" width="6.25" style="1914" customWidth="1"/>
    <col min="9220" max="9220" width="26.25" style="1914" customWidth="1"/>
    <col min="9221" max="9221" width="38.25" style="1914" customWidth="1"/>
    <col min="9222" max="9473" width="9" style="1914"/>
    <col min="9474" max="9474" width="9.125" style="1914" customWidth="1"/>
    <col min="9475" max="9475" width="6.25" style="1914" customWidth="1"/>
    <col min="9476" max="9476" width="26.25" style="1914" customWidth="1"/>
    <col min="9477" max="9477" width="38.25" style="1914" customWidth="1"/>
    <col min="9478" max="9729" width="9" style="1914"/>
    <col min="9730" max="9730" width="9.125" style="1914" customWidth="1"/>
    <col min="9731" max="9731" width="6.25" style="1914" customWidth="1"/>
    <col min="9732" max="9732" width="26.25" style="1914" customWidth="1"/>
    <col min="9733" max="9733" width="38.25" style="1914" customWidth="1"/>
    <col min="9734" max="9985" width="9" style="1914"/>
    <col min="9986" max="9986" width="9.125" style="1914" customWidth="1"/>
    <col min="9987" max="9987" width="6.25" style="1914" customWidth="1"/>
    <col min="9988" max="9988" width="26.25" style="1914" customWidth="1"/>
    <col min="9989" max="9989" width="38.25" style="1914" customWidth="1"/>
    <col min="9990" max="10241" width="9" style="1914"/>
    <col min="10242" max="10242" width="9.125" style="1914" customWidth="1"/>
    <col min="10243" max="10243" width="6.25" style="1914" customWidth="1"/>
    <col min="10244" max="10244" width="26.25" style="1914" customWidth="1"/>
    <col min="10245" max="10245" width="38.25" style="1914" customWidth="1"/>
    <col min="10246" max="10497" width="9" style="1914"/>
    <col min="10498" max="10498" width="9.125" style="1914" customWidth="1"/>
    <col min="10499" max="10499" width="6.25" style="1914" customWidth="1"/>
    <col min="10500" max="10500" width="26.25" style="1914" customWidth="1"/>
    <col min="10501" max="10501" width="38.25" style="1914" customWidth="1"/>
    <col min="10502" max="10753" width="9" style="1914"/>
    <col min="10754" max="10754" width="9.125" style="1914" customWidth="1"/>
    <col min="10755" max="10755" width="6.25" style="1914" customWidth="1"/>
    <col min="10756" max="10756" width="26.25" style="1914" customWidth="1"/>
    <col min="10757" max="10757" width="38.25" style="1914" customWidth="1"/>
    <col min="10758" max="11009" width="9" style="1914"/>
    <col min="11010" max="11010" width="9.125" style="1914" customWidth="1"/>
    <col min="11011" max="11011" width="6.25" style="1914" customWidth="1"/>
    <col min="11012" max="11012" width="26.25" style="1914" customWidth="1"/>
    <col min="11013" max="11013" width="38.25" style="1914" customWidth="1"/>
    <col min="11014" max="11265" width="9" style="1914"/>
    <col min="11266" max="11266" width="9.125" style="1914" customWidth="1"/>
    <col min="11267" max="11267" width="6.25" style="1914" customWidth="1"/>
    <col min="11268" max="11268" width="26.25" style="1914" customWidth="1"/>
    <col min="11269" max="11269" width="38.25" style="1914" customWidth="1"/>
    <col min="11270" max="11521" width="9" style="1914"/>
    <col min="11522" max="11522" width="9.125" style="1914" customWidth="1"/>
    <col min="11523" max="11523" width="6.25" style="1914" customWidth="1"/>
    <col min="11524" max="11524" width="26.25" style="1914" customWidth="1"/>
    <col min="11525" max="11525" width="38.25" style="1914" customWidth="1"/>
    <col min="11526" max="11777" width="9" style="1914"/>
    <col min="11778" max="11778" width="9.125" style="1914" customWidth="1"/>
    <col min="11779" max="11779" width="6.25" style="1914" customWidth="1"/>
    <col min="11780" max="11780" width="26.25" style="1914" customWidth="1"/>
    <col min="11781" max="11781" width="38.25" style="1914" customWidth="1"/>
    <col min="11782" max="12033" width="9" style="1914"/>
    <col min="12034" max="12034" width="9.125" style="1914" customWidth="1"/>
    <col min="12035" max="12035" width="6.25" style="1914" customWidth="1"/>
    <col min="12036" max="12036" width="26.25" style="1914" customWidth="1"/>
    <col min="12037" max="12037" width="38.25" style="1914" customWidth="1"/>
    <col min="12038" max="12289" width="9" style="1914"/>
    <col min="12290" max="12290" width="9.125" style="1914" customWidth="1"/>
    <col min="12291" max="12291" width="6.25" style="1914" customWidth="1"/>
    <col min="12292" max="12292" width="26.25" style="1914" customWidth="1"/>
    <col min="12293" max="12293" width="38.25" style="1914" customWidth="1"/>
    <col min="12294" max="12545" width="9" style="1914"/>
    <col min="12546" max="12546" width="9.125" style="1914" customWidth="1"/>
    <col min="12547" max="12547" width="6.25" style="1914" customWidth="1"/>
    <col min="12548" max="12548" width="26.25" style="1914" customWidth="1"/>
    <col min="12549" max="12549" width="38.25" style="1914" customWidth="1"/>
    <col min="12550" max="12801" width="9" style="1914"/>
    <col min="12802" max="12802" width="9.125" style="1914" customWidth="1"/>
    <col min="12803" max="12803" width="6.25" style="1914" customWidth="1"/>
    <col min="12804" max="12804" width="26.25" style="1914" customWidth="1"/>
    <col min="12805" max="12805" width="38.25" style="1914" customWidth="1"/>
    <col min="12806" max="13057" width="9" style="1914"/>
    <col min="13058" max="13058" width="9.125" style="1914" customWidth="1"/>
    <col min="13059" max="13059" width="6.25" style="1914" customWidth="1"/>
    <col min="13060" max="13060" width="26.25" style="1914" customWidth="1"/>
    <col min="13061" max="13061" width="38.25" style="1914" customWidth="1"/>
    <col min="13062" max="13313" width="9" style="1914"/>
    <col min="13314" max="13314" width="9.125" style="1914" customWidth="1"/>
    <col min="13315" max="13315" width="6.25" style="1914" customWidth="1"/>
    <col min="13316" max="13316" width="26.25" style="1914" customWidth="1"/>
    <col min="13317" max="13317" width="38.25" style="1914" customWidth="1"/>
    <col min="13318" max="13569" width="9" style="1914"/>
    <col min="13570" max="13570" width="9.125" style="1914" customWidth="1"/>
    <col min="13571" max="13571" width="6.25" style="1914" customWidth="1"/>
    <col min="13572" max="13572" width="26.25" style="1914" customWidth="1"/>
    <col min="13573" max="13573" width="38.25" style="1914" customWidth="1"/>
    <col min="13574" max="13825" width="9" style="1914"/>
    <col min="13826" max="13826" width="9.125" style="1914" customWidth="1"/>
    <col min="13827" max="13827" width="6.25" style="1914" customWidth="1"/>
    <col min="13828" max="13828" width="26.25" style="1914" customWidth="1"/>
    <col min="13829" max="13829" width="38.25" style="1914" customWidth="1"/>
    <col min="13830" max="14081" width="9" style="1914"/>
    <col min="14082" max="14082" width="9.125" style="1914" customWidth="1"/>
    <col min="14083" max="14083" width="6.25" style="1914" customWidth="1"/>
    <col min="14084" max="14084" width="26.25" style="1914" customWidth="1"/>
    <col min="14085" max="14085" width="38.25" style="1914" customWidth="1"/>
    <col min="14086" max="14337" width="9" style="1914"/>
    <col min="14338" max="14338" width="9.125" style="1914" customWidth="1"/>
    <col min="14339" max="14339" width="6.25" style="1914" customWidth="1"/>
    <col min="14340" max="14340" width="26.25" style="1914" customWidth="1"/>
    <col min="14341" max="14341" width="38.25" style="1914" customWidth="1"/>
    <col min="14342" max="14593" width="9" style="1914"/>
    <col min="14594" max="14594" width="9.125" style="1914" customWidth="1"/>
    <col min="14595" max="14595" width="6.25" style="1914" customWidth="1"/>
    <col min="14596" max="14596" width="26.25" style="1914" customWidth="1"/>
    <col min="14597" max="14597" width="38.25" style="1914" customWidth="1"/>
    <col min="14598" max="14849" width="9" style="1914"/>
    <col min="14850" max="14850" width="9.125" style="1914" customWidth="1"/>
    <col min="14851" max="14851" width="6.25" style="1914" customWidth="1"/>
    <col min="14852" max="14852" width="26.25" style="1914" customWidth="1"/>
    <col min="14853" max="14853" width="38.25" style="1914" customWidth="1"/>
    <col min="14854" max="15105" width="9" style="1914"/>
    <col min="15106" max="15106" width="9.125" style="1914" customWidth="1"/>
    <col min="15107" max="15107" width="6.25" style="1914" customWidth="1"/>
    <col min="15108" max="15108" width="26.25" style="1914" customWidth="1"/>
    <col min="15109" max="15109" width="38.25" style="1914" customWidth="1"/>
    <col min="15110" max="15361" width="9" style="1914"/>
    <col min="15362" max="15362" width="9.125" style="1914" customWidth="1"/>
    <col min="15363" max="15363" width="6.25" style="1914" customWidth="1"/>
    <col min="15364" max="15364" width="26.25" style="1914" customWidth="1"/>
    <col min="15365" max="15365" width="38.25" style="1914" customWidth="1"/>
    <col min="15366" max="15617" width="9" style="1914"/>
    <col min="15618" max="15618" width="9.125" style="1914" customWidth="1"/>
    <col min="15619" max="15619" width="6.25" style="1914" customWidth="1"/>
    <col min="15620" max="15620" width="26.25" style="1914" customWidth="1"/>
    <col min="15621" max="15621" width="38.25" style="1914" customWidth="1"/>
    <col min="15622" max="15873" width="9" style="1914"/>
    <col min="15874" max="15874" width="9.125" style="1914" customWidth="1"/>
    <col min="15875" max="15875" width="6.25" style="1914" customWidth="1"/>
    <col min="15876" max="15876" width="26.25" style="1914" customWidth="1"/>
    <col min="15877" max="15877" width="38.25" style="1914" customWidth="1"/>
    <col min="15878" max="16129" width="9" style="1914"/>
    <col min="16130" max="16130" width="9.125" style="1914" customWidth="1"/>
    <col min="16131" max="16131" width="6.25" style="1914" customWidth="1"/>
    <col min="16132" max="16132" width="26.25" style="1914" customWidth="1"/>
    <col min="16133" max="16133" width="38.25" style="1914" customWidth="1"/>
    <col min="16134" max="16384" width="9" style="1914"/>
  </cols>
  <sheetData>
    <row r="1" spans="2:6" ht="20.25" customHeight="1">
      <c r="B1" s="2233" t="s">
        <v>1236</v>
      </c>
      <c r="C1" s="2233"/>
      <c r="D1" s="2233"/>
      <c r="E1" s="2233"/>
      <c r="F1" s="2233"/>
    </row>
    <row r="2" spans="2:6" ht="9" customHeight="1" thickBot="1">
      <c r="B2" s="2233"/>
      <c r="C2" s="2233"/>
      <c r="D2" s="2233"/>
      <c r="E2" s="2233"/>
      <c r="F2" s="2233"/>
    </row>
    <row r="3" spans="2:6" ht="19.5" customHeight="1" thickBot="1">
      <c r="B3" s="2697" t="s">
        <v>1438</v>
      </c>
      <c r="C3" s="2698"/>
      <c r="D3" s="2698"/>
      <c r="E3" s="2698"/>
      <c r="F3" s="2699"/>
    </row>
    <row r="4" spans="2:6" ht="8.25" customHeight="1" thickBot="1">
      <c r="B4" s="2233"/>
      <c r="C4" s="2233"/>
      <c r="D4" s="2233"/>
      <c r="E4" s="2233"/>
      <c r="F4" s="2233"/>
    </row>
    <row r="5" spans="2:6" ht="19.5" customHeight="1" thickBot="1">
      <c r="B5" s="2234" t="s">
        <v>1237</v>
      </c>
      <c r="C5" s="2235" t="s">
        <v>1238</v>
      </c>
      <c r="D5" s="2236" t="s">
        <v>1439</v>
      </c>
      <c r="E5" s="2237" t="s">
        <v>1239</v>
      </c>
      <c r="F5" s="2238" t="s">
        <v>1240</v>
      </c>
    </row>
    <row r="6" spans="2:6" ht="19.5" customHeight="1">
      <c r="B6" s="2239" t="s">
        <v>1440</v>
      </c>
      <c r="C6" s="2240">
        <v>5</v>
      </c>
      <c r="D6" s="2241" t="s">
        <v>1441</v>
      </c>
      <c r="E6" s="2242" t="s">
        <v>1442</v>
      </c>
      <c r="F6" s="2243" t="s">
        <v>1443</v>
      </c>
    </row>
    <row r="7" spans="2:6" ht="19.5" customHeight="1" thickBot="1">
      <c r="B7" s="2244" t="s">
        <v>1444</v>
      </c>
      <c r="C7" s="2245">
        <v>4</v>
      </c>
      <c r="D7" s="2246" t="s">
        <v>1445</v>
      </c>
      <c r="E7" s="2247" t="s">
        <v>1446</v>
      </c>
      <c r="F7" s="2248" t="s">
        <v>1447</v>
      </c>
    </row>
    <row r="8" spans="2:6" ht="6" customHeight="1" thickBot="1">
      <c r="B8" s="2249"/>
      <c r="C8" s="2249"/>
      <c r="D8" s="2250"/>
      <c r="E8" s="2251"/>
      <c r="F8" s="2251"/>
    </row>
    <row r="9" spans="2:6" ht="19.5" customHeight="1" thickBot="1">
      <c r="B9" s="2234" t="s">
        <v>1237</v>
      </c>
      <c r="C9" s="2235" t="s">
        <v>1238</v>
      </c>
      <c r="D9" s="2236" t="s">
        <v>1439</v>
      </c>
      <c r="E9" s="2237" t="s">
        <v>1239</v>
      </c>
      <c r="F9" s="2238" t="s">
        <v>1240</v>
      </c>
    </row>
    <row r="10" spans="2:6" ht="19.5" customHeight="1">
      <c r="B10" s="2252" t="str">
        <f>IF(COUNTIF(スコア!$AF:$AF,"&gt;3")&gt;=ROW(A1),INDEX(スコア!AE:AE,LARGE(INDEX((スコア!$AF$8:$AF$86&gt;3)*ROW(スコア!$AF$8:$AF$86),),COUNTIF(スコア!$AF:$AF,"&gt;3")-ROW(A1)+1)),"")</f>
        <v>LRH1/1.1</v>
      </c>
      <c r="C10" s="2253">
        <f>IF(COUNTIF(スコア!$AF:$AF,"&gt;3")&gt;=ROW(B1),INDEX(スコア!AF:AF,LARGE(INDEX((スコア!$AF$8:$AF$86&gt;3)*ROW(スコア!$AF$8:$AF$86),),COUNTIF(スコア!$AF:$AF,"&gt;3")-ROW(B1)+1)),"")</f>
        <v>5</v>
      </c>
      <c r="D10" s="2253" t="str">
        <f>IF(COUNTIF(スコア!$AF:$AF,"&gt;3")&gt;=ROW(C1),INDEX(スコア!AG:AG,LARGE(INDEX((スコア!$AF$8:$AF$86&gt;3)*ROW(スコア!$AF$8:$AF$86),),COUNTIF(スコア!$AF:$AF,"&gt;3")-ROW(C1)+1)),"")</f>
        <v/>
      </c>
      <c r="E10" s="2231"/>
      <c r="F10" s="2232"/>
    </row>
    <row r="11" spans="2:6" ht="19.5" customHeight="1">
      <c r="B11" s="2252" t="str">
        <f>IF(COUNTIF(スコア!$AF:$AF,"&gt;3")&gt;=ROW(A2),INDEX(スコア!AE:AE,LARGE(INDEX((スコア!$AF$8:$AF$86&gt;3)*ROW(スコア!$AF$8:$AF$86),),COUNTIF(スコア!$AF:$AF,"&gt;3")-ROW(A2)+1)),"")</f>
        <v/>
      </c>
      <c r="C11" s="2253" t="str">
        <f>IF(COUNTIF(スコア!$AF:$AF,"&gt;3")&gt;=ROW(B2),INDEX(スコア!AF:AF,LARGE(INDEX((スコア!$AF$8:$AF$86&gt;3)*ROW(スコア!$AF$8:$AF$86),),COUNTIF(スコア!$AF:$AF,"&gt;3")-ROW(B2)+1)),"")</f>
        <v/>
      </c>
      <c r="D11" s="2253" t="str">
        <f>IF(COUNTIF(スコア!$AF:$AF,"&gt;3")&gt;=ROW(C2),INDEX(スコア!AG:AG,LARGE(INDEX((スコア!$AF$8:$AF$86&gt;3)*ROW(スコア!$AF$8:$AF$86),),COUNTIF(スコア!$AF:$AF,"&gt;3")-ROW(C2)+1)),"")</f>
        <v/>
      </c>
      <c r="E11" s="2231"/>
      <c r="F11" s="2232"/>
    </row>
    <row r="12" spans="2:6" ht="19.5" customHeight="1">
      <c r="B12" s="2252" t="str">
        <f>IF(COUNTIF(スコア!$AF:$AF,"&gt;3")&gt;=ROW(A3),INDEX(スコア!AE:AE,LARGE(INDEX((スコア!$AF$8:$AF$86&gt;3)*ROW(スコア!$AF$8:$AF$86),),COUNTIF(スコア!$AF:$AF,"&gt;3")-ROW(A3)+1)),"")</f>
        <v/>
      </c>
      <c r="C12" s="2253" t="str">
        <f>IF(COUNTIF(スコア!$AF:$AF,"&gt;3")&gt;=ROW(B3),INDEX(スコア!AF:AF,LARGE(INDEX((スコア!$AF$8:$AF$86&gt;3)*ROW(スコア!$AF$8:$AF$86),),COUNTIF(スコア!$AF:$AF,"&gt;3")-ROW(B3)+1)),"")</f>
        <v/>
      </c>
      <c r="D12" s="2253" t="str">
        <f>IF(COUNTIF(スコア!$AF:$AF,"&gt;3")&gt;=ROW(C3),INDEX(スコア!AG:AG,LARGE(INDEX((スコア!$AF$8:$AF$86&gt;3)*ROW(スコア!$AF$8:$AF$86),),COUNTIF(スコア!$AF:$AF,"&gt;3")-ROW(C3)+1)),"")</f>
        <v/>
      </c>
      <c r="E12" s="2231"/>
      <c r="F12" s="2232"/>
    </row>
    <row r="13" spans="2:6" ht="19.5" customHeight="1">
      <c r="B13" s="2252" t="str">
        <f>IF(COUNTIF(スコア!$AF:$AF,"&gt;3")&gt;=ROW(A4),INDEX(スコア!AE:AE,LARGE(INDEX((スコア!$AF$8:$AF$86&gt;3)*ROW(スコア!$AF$8:$AF$86),),COUNTIF(スコア!$AF:$AF,"&gt;3")-ROW(A4)+1)),"")</f>
        <v/>
      </c>
      <c r="C13" s="2253" t="str">
        <f>IF(COUNTIF(スコア!$AF:$AF,"&gt;3")&gt;=ROW(B4),INDEX(スコア!AF:AF,LARGE(INDEX((スコア!$AF$8:$AF$86&gt;3)*ROW(スコア!$AF$8:$AF$86),),COUNTIF(スコア!$AF:$AF,"&gt;3")-ROW(B4)+1)),"")</f>
        <v/>
      </c>
      <c r="D13" s="2253" t="str">
        <f>IF(COUNTIF(スコア!$AF:$AF,"&gt;3")&gt;=ROW(C4),INDEX(スコア!AG:AG,LARGE(INDEX((スコア!$AF$8:$AF$86&gt;3)*ROW(スコア!$AF$8:$AF$86),),COUNTIF(スコア!$AF:$AF,"&gt;3")-ROW(C4)+1)),"")</f>
        <v/>
      </c>
      <c r="E13" s="2231"/>
      <c r="F13" s="2232"/>
    </row>
    <row r="14" spans="2:6" ht="19.5" customHeight="1">
      <c r="B14" s="2252" t="str">
        <f>IF(COUNTIF(スコア!$AF:$AF,"&gt;3")&gt;=ROW(A5),INDEX(スコア!AE:AE,LARGE(INDEX((スコア!$AF$8:$AF$86&gt;3)*ROW(スコア!$AF$8:$AF$86),),COUNTIF(スコア!$AF:$AF,"&gt;3")-ROW(A5)+1)),"")</f>
        <v/>
      </c>
      <c r="C14" s="2253" t="str">
        <f>IF(COUNTIF(スコア!$AF:$AF,"&gt;3")&gt;=ROW(B5),INDEX(スコア!AF:AF,LARGE(INDEX((スコア!$AF$8:$AF$86&gt;3)*ROW(スコア!$AF$8:$AF$86),),COUNTIF(スコア!$AF:$AF,"&gt;3")-ROW(B5)+1)),"")</f>
        <v/>
      </c>
      <c r="D14" s="2253" t="str">
        <f>IF(COUNTIF(スコア!$AF:$AF,"&gt;3")&gt;=ROW(C5),INDEX(スコア!AG:AG,LARGE(INDEX((スコア!$AF$8:$AF$86&gt;3)*ROW(スコア!$AF$8:$AF$86),),COUNTIF(スコア!$AF:$AF,"&gt;3")-ROW(C5)+1)),"")</f>
        <v/>
      </c>
      <c r="E14" s="2231"/>
      <c r="F14" s="2232"/>
    </row>
    <row r="15" spans="2:6" ht="19.5" customHeight="1">
      <c r="B15" s="2252" t="str">
        <f>IF(COUNTIF(スコア!$AF:$AF,"&gt;3")&gt;=ROW(A6),INDEX(スコア!AE:AE,LARGE(INDEX((スコア!$AF$8:$AF$86&gt;3)*ROW(スコア!$AF$8:$AF$86),),COUNTIF(スコア!$AF:$AF,"&gt;3")-ROW(A6)+1)),"")</f>
        <v/>
      </c>
      <c r="C15" s="2253" t="str">
        <f>IF(COUNTIF(スコア!$AF:$AF,"&gt;3")&gt;=ROW(B6),INDEX(スコア!AF:AF,LARGE(INDEX((スコア!$AF$8:$AF$86&gt;3)*ROW(スコア!$AF$8:$AF$86),),COUNTIF(スコア!$AF:$AF,"&gt;3")-ROW(B6)+1)),"")</f>
        <v/>
      </c>
      <c r="D15" s="2253" t="str">
        <f>IF(COUNTIF(スコア!$AF:$AF,"&gt;3")&gt;=ROW(C6),INDEX(スコア!AG:AG,LARGE(INDEX((スコア!$AF$8:$AF$86&gt;3)*ROW(スコア!$AF$8:$AF$86),),COUNTIF(スコア!$AF:$AF,"&gt;3")-ROW(C6)+1)),"")</f>
        <v/>
      </c>
      <c r="E15" s="2231"/>
      <c r="F15" s="2232"/>
    </row>
    <row r="16" spans="2:6" ht="19.5" customHeight="1">
      <c r="B16" s="2252" t="str">
        <f>IF(COUNTIF(スコア!$AF:$AF,"&gt;3")&gt;=ROW(A7),INDEX(スコア!AE:AE,LARGE(INDEX((スコア!$AF$8:$AF$86&gt;3)*ROW(スコア!$AF$8:$AF$86),),COUNTIF(スコア!$AF:$AF,"&gt;3")-ROW(A7)+1)),"")</f>
        <v/>
      </c>
      <c r="C16" s="2253" t="str">
        <f>IF(COUNTIF(スコア!$AF:$AF,"&gt;3")&gt;=ROW(B7),INDEX(スコア!AF:AF,LARGE(INDEX((スコア!$AF$8:$AF$86&gt;3)*ROW(スコア!$AF$8:$AF$86),),COUNTIF(スコア!$AF:$AF,"&gt;3")-ROW(B7)+1)),"")</f>
        <v/>
      </c>
      <c r="D16" s="2253" t="str">
        <f>IF(COUNTIF(スコア!$AF:$AF,"&gt;3")&gt;=ROW(C7),INDEX(スコア!AG:AG,LARGE(INDEX((スコア!$AF$8:$AF$86&gt;3)*ROW(スコア!$AF$8:$AF$86),),COUNTIF(スコア!$AF:$AF,"&gt;3")-ROW(C7)+1)),"")</f>
        <v/>
      </c>
      <c r="E16" s="2231"/>
      <c r="F16" s="2232"/>
    </row>
    <row r="17" spans="2:6" ht="19.5" customHeight="1">
      <c r="B17" s="2252" t="str">
        <f>IF(COUNTIF(スコア!$AF:$AF,"&gt;3")&gt;=ROW(A8),INDEX(スコア!AE:AE,LARGE(INDEX((スコア!$AF$8:$AF$86&gt;3)*ROW(スコア!$AF$8:$AF$86),),COUNTIF(スコア!$AF:$AF,"&gt;3")-ROW(A8)+1)),"")</f>
        <v/>
      </c>
      <c r="C17" s="2253" t="str">
        <f>IF(COUNTIF(スコア!$AF:$AF,"&gt;3")&gt;=ROW(B8),INDEX(スコア!AF:AF,LARGE(INDEX((スコア!$AF$8:$AF$86&gt;3)*ROW(スコア!$AF$8:$AF$86),),COUNTIF(スコア!$AF:$AF,"&gt;3")-ROW(B8)+1)),"")</f>
        <v/>
      </c>
      <c r="D17" s="2253" t="str">
        <f>IF(COUNTIF(スコア!$AF:$AF,"&gt;3")&gt;=ROW(C8),INDEX(スコア!AG:AG,LARGE(INDEX((スコア!$AF$8:$AF$86&gt;3)*ROW(スコア!$AF$8:$AF$86),),COUNTIF(スコア!$AF:$AF,"&gt;3")-ROW(C8)+1)),"")</f>
        <v/>
      </c>
      <c r="E17" s="2231"/>
      <c r="F17" s="2232"/>
    </row>
    <row r="18" spans="2:6" ht="19.5" customHeight="1">
      <c r="B18" s="2252" t="str">
        <f>IF(COUNTIF(スコア!$AF:$AF,"&gt;3")&gt;=ROW(A9),INDEX(スコア!AE:AE,LARGE(INDEX((スコア!$AF$8:$AF$86&gt;3)*ROW(スコア!$AF$8:$AF$86),),COUNTIF(スコア!$AF:$AF,"&gt;3")-ROW(A9)+1)),"")</f>
        <v/>
      </c>
      <c r="C18" s="2253" t="str">
        <f>IF(COUNTIF(スコア!$AF:$AF,"&gt;3")&gt;=ROW(B9),INDEX(スコア!AF:AF,LARGE(INDEX((スコア!$AF$8:$AF$86&gt;3)*ROW(スコア!$AF$8:$AF$86),),COUNTIF(スコア!$AF:$AF,"&gt;3")-ROW(B9)+1)),"")</f>
        <v/>
      </c>
      <c r="D18" s="2253" t="str">
        <f>IF(COUNTIF(スコア!$AF:$AF,"&gt;3")&gt;=ROW(C9),INDEX(スコア!AG:AG,LARGE(INDEX((スコア!$AF$8:$AF$86&gt;3)*ROW(スコア!$AF$8:$AF$86),),COUNTIF(スコア!$AF:$AF,"&gt;3")-ROW(C9)+1)),"")</f>
        <v/>
      </c>
      <c r="E18" s="2231"/>
      <c r="F18" s="2232"/>
    </row>
    <row r="19" spans="2:6" ht="19.5" customHeight="1">
      <c r="B19" s="2252" t="str">
        <f>IF(COUNTIF(スコア!$AF:$AF,"&gt;3")&gt;=ROW(A10),INDEX(スコア!AE:AE,LARGE(INDEX((スコア!$AF$8:$AF$86&gt;3)*ROW(スコア!$AF$8:$AF$86),),COUNTIF(スコア!$AF:$AF,"&gt;3")-ROW(A10)+1)),"")</f>
        <v/>
      </c>
      <c r="C19" s="2253" t="str">
        <f>IF(COUNTIF(スコア!$AF:$AF,"&gt;3")&gt;=ROW(B10),INDEX(スコア!AF:AF,LARGE(INDEX((スコア!$AF$8:$AF$86&gt;3)*ROW(スコア!$AF$8:$AF$86),),COUNTIF(スコア!$AF:$AF,"&gt;3")-ROW(B10)+1)),"")</f>
        <v/>
      </c>
      <c r="D19" s="2253" t="str">
        <f>IF(COUNTIF(スコア!$AF:$AF,"&gt;3")&gt;=ROW(C10),INDEX(スコア!AG:AG,LARGE(INDEX((スコア!$AF$8:$AF$86&gt;3)*ROW(スコア!$AF$8:$AF$86),),COUNTIF(スコア!$AF:$AF,"&gt;3")-ROW(C10)+1)),"")</f>
        <v/>
      </c>
      <c r="E19" s="2231"/>
      <c r="F19" s="2232"/>
    </row>
    <row r="20" spans="2:6" ht="19.5" customHeight="1">
      <c r="B20" s="2252" t="str">
        <f>IF(COUNTIF(スコア!$AF:$AF,"&gt;3")&gt;=ROW(A11),INDEX(スコア!AE:AE,LARGE(INDEX((スコア!$AF$8:$AF$86&gt;3)*ROW(スコア!$AF$8:$AF$86),),COUNTIF(スコア!$AF:$AF,"&gt;3")-ROW(A11)+1)),"")</f>
        <v/>
      </c>
      <c r="C20" s="2253" t="str">
        <f>IF(COUNTIF(スコア!$AF:$AF,"&gt;3")&gt;=ROW(B11),INDEX(スコア!AF:AF,LARGE(INDEX((スコア!$AF$8:$AF$86&gt;3)*ROW(スコア!$AF$8:$AF$86),),COUNTIF(スコア!$AF:$AF,"&gt;3")-ROW(B11)+1)),"")</f>
        <v/>
      </c>
      <c r="D20" s="2253" t="str">
        <f>IF(COUNTIF(スコア!$AF:$AF,"&gt;3")&gt;=ROW(C11),INDEX(スコア!AG:AG,LARGE(INDEX((スコア!$AF$8:$AF$86&gt;3)*ROW(スコア!$AF$8:$AF$86),),COUNTIF(スコア!$AF:$AF,"&gt;3")-ROW(C11)+1)),"")</f>
        <v/>
      </c>
      <c r="E20" s="2231"/>
      <c r="F20" s="2232"/>
    </row>
    <row r="21" spans="2:6" ht="19.5" customHeight="1">
      <c r="B21" s="2252" t="str">
        <f>IF(COUNTIF(スコア!$AF:$AF,"&gt;3")&gt;=ROW(A12),INDEX(スコア!AE:AE,LARGE(INDEX((スコア!$AF$8:$AF$86&gt;3)*ROW(スコア!$AF$8:$AF$86),),COUNTIF(スコア!$AF:$AF,"&gt;3")-ROW(A12)+1)),"")</f>
        <v/>
      </c>
      <c r="C21" s="2253" t="str">
        <f>IF(COUNTIF(スコア!$AF:$AF,"&gt;3")&gt;=ROW(B12),INDEX(スコア!AF:AF,LARGE(INDEX((スコア!$AF$8:$AF$86&gt;3)*ROW(スコア!$AF$8:$AF$86),),COUNTIF(スコア!$AF:$AF,"&gt;3")-ROW(B12)+1)),"")</f>
        <v/>
      </c>
      <c r="D21" s="2253" t="str">
        <f>IF(COUNTIF(スコア!$AF:$AF,"&gt;3")&gt;=ROW(C12),INDEX(スコア!AG:AG,LARGE(INDEX((スコア!$AF$8:$AF$86&gt;3)*ROW(スコア!$AF$8:$AF$86),),COUNTIF(スコア!$AF:$AF,"&gt;3")-ROW(C12)+1)),"")</f>
        <v/>
      </c>
      <c r="E21" s="2231"/>
      <c r="F21" s="2232"/>
    </row>
    <row r="22" spans="2:6" ht="19.5" customHeight="1">
      <c r="B22" s="2252" t="str">
        <f>IF(COUNTIF(スコア!$AF:$AF,"&gt;3")&gt;=ROW(A13),INDEX(スコア!AE:AE,LARGE(INDEX((スコア!$AF$8:$AF$86&gt;3)*ROW(スコア!$AF$8:$AF$86),),COUNTIF(スコア!$AF:$AF,"&gt;3")-ROW(A13)+1)),"")</f>
        <v/>
      </c>
      <c r="C22" s="2253" t="str">
        <f>IF(COUNTIF(スコア!$AF:$AF,"&gt;3")&gt;=ROW(B13),INDEX(スコア!AF:AF,LARGE(INDEX((スコア!$AF$8:$AF$86&gt;3)*ROW(スコア!$AF$8:$AF$86),),COUNTIF(スコア!$AF:$AF,"&gt;3")-ROW(B13)+1)),"")</f>
        <v/>
      </c>
      <c r="D22" s="2253" t="str">
        <f>IF(COUNTIF(スコア!$AF:$AF,"&gt;3")&gt;=ROW(C13),INDEX(スコア!AG:AG,LARGE(INDEX((スコア!$AF$8:$AF$86&gt;3)*ROW(スコア!$AF$8:$AF$86),),COUNTIF(スコア!$AF:$AF,"&gt;3")-ROW(C13)+1)),"")</f>
        <v/>
      </c>
      <c r="E22" s="2231"/>
      <c r="F22" s="2232"/>
    </row>
    <row r="23" spans="2:6" ht="19.5" customHeight="1">
      <c r="B23" s="2252" t="str">
        <f>IF(COUNTIF(スコア!$AF:$AF,"&gt;3")&gt;=ROW(A14),INDEX(スコア!AE:AE,LARGE(INDEX((スコア!$AF$8:$AF$86&gt;3)*ROW(スコア!$AF$8:$AF$86),),COUNTIF(スコア!$AF:$AF,"&gt;3")-ROW(A14)+1)),"")</f>
        <v/>
      </c>
      <c r="C23" s="2253" t="str">
        <f>IF(COUNTIF(スコア!$AF:$AF,"&gt;3")&gt;=ROW(B14),INDEX(スコア!AF:AF,LARGE(INDEX((スコア!$AF$8:$AF$86&gt;3)*ROW(スコア!$AF$8:$AF$86),),COUNTIF(スコア!$AF:$AF,"&gt;3")-ROW(B14)+1)),"")</f>
        <v/>
      </c>
      <c r="D23" s="2253" t="str">
        <f>IF(COUNTIF(スコア!$AF:$AF,"&gt;3")&gt;=ROW(C14),INDEX(スコア!AG:AG,LARGE(INDEX((スコア!$AF$8:$AF$86&gt;3)*ROW(スコア!$AF$8:$AF$86),),COUNTIF(スコア!$AF:$AF,"&gt;3")-ROW(C14)+1)),"")</f>
        <v/>
      </c>
      <c r="E23" s="2231"/>
      <c r="F23" s="2232"/>
    </row>
    <row r="24" spans="2:6" ht="19.5" customHeight="1">
      <c r="B24" s="2252" t="str">
        <f>IF(COUNTIF(スコア!$AF:$AF,"&gt;3")&gt;=ROW(A15),INDEX(スコア!AE:AE,LARGE(INDEX((スコア!$AF$8:$AF$86&gt;3)*ROW(スコア!$AF$8:$AF$86),),COUNTIF(スコア!$AF:$AF,"&gt;3")-ROW(A15)+1)),"")</f>
        <v/>
      </c>
      <c r="C24" s="2253" t="str">
        <f>IF(COUNTIF(スコア!$AF:$AF,"&gt;3")&gt;=ROW(B15),INDEX(スコア!AF:AF,LARGE(INDEX((スコア!$AF$8:$AF$86&gt;3)*ROW(スコア!$AF$8:$AF$86),),COUNTIF(スコア!$AF:$AF,"&gt;3")-ROW(B15)+1)),"")</f>
        <v/>
      </c>
      <c r="D24" s="2253" t="str">
        <f>IF(COUNTIF(スコア!$AF:$AF,"&gt;3")&gt;=ROW(C15),INDEX(スコア!AG:AG,LARGE(INDEX((スコア!$AF$8:$AF$86&gt;3)*ROW(スコア!$AF$8:$AF$86),),COUNTIF(スコア!$AF:$AF,"&gt;3")-ROW(C15)+1)),"")</f>
        <v/>
      </c>
      <c r="E24" s="2231"/>
      <c r="F24" s="2232"/>
    </row>
    <row r="25" spans="2:6" ht="19.5" customHeight="1">
      <c r="B25" s="2252" t="str">
        <f>IF(COUNTIF(スコア!$AF:$AF,"&gt;3")&gt;=ROW(A16),INDEX(スコア!AE:AE,LARGE(INDEX((スコア!$AF$8:$AF$86&gt;3)*ROW(スコア!$AF$8:$AF$86),),COUNTIF(スコア!$AF:$AF,"&gt;3")-ROW(A16)+1)),"")</f>
        <v/>
      </c>
      <c r="C25" s="2253" t="str">
        <f>IF(COUNTIF(スコア!$AF:$AF,"&gt;3")&gt;=ROW(B16),INDEX(スコア!AF:AF,LARGE(INDEX((スコア!$AF$8:$AF$86&gt;3)*ROW(スコア!$AF$8:$AF$86),),COUNTIF(スコア!$AF:$AF,"&gt;3")-ROW(B16)+1)),"")</f>
        <v/>
      </c>
      <c r="D25" s="2253" t="str">
        <f>IF(COUNTIF(スコア!$AF:$AF,"&gt;3")&gt;=ROW(C16),INDEX(スコア!AG:AG,LARGE(INDEX((スコア!$AF$8:$AF$86&gt;3)*ROW(スコア!$AF$8:$AF$86),),COUNTIF(スコア!$AF:$AF,"&gt;3")-ROW(C16)+1)),"")</f>
        <v/>
      </c>
      <c r="E25" s="2231"/>
      <c r="F25" s="2232"/>
    </row>
    <row r="26" spans="2:6" ht="19.5" customHeight="1">
      <c r="B26" s="2252" t="str">
        <f>IF(COUNTIF(スコア!$AF:$AF,"&gt;3")&gt;=ROW(A17),INDEX(スコア!AE:AE,LARGE(INDEX((スコア!$AF$8:$AF$86&gt;3)*ROW(スコア!$AF$8:$AF$86),),COUNTIF(スコア!$AF:$AF,"&gt;3")-ROW(A17)+1)),"")</f>
        <v/>
      </c>
      <c r="C26" s="2253" t="str">
        <f>IF(COUNTIF(スコア!$AF:$AF,"&gt;3")&gt;=ROW(B17),INDEX(スコア!AF:AF,LARGE(INDEX((スコア!$AF$8:$AF$86&gt;3)*ROW(スコア!$AF$8:$AF$86),),COUNTIF(スコア!$AF:$AF,"&gt;3")-ROW(B17)+1)),"")</f>
        <v/>
      </c>
      <c r="D26" s="2253" t="str">
        <f>IF(COUNTIF(スコア!$AF:$AF,"&gt;3")&gt;=ROW(C17),INDEX(スコア!AG:AG,LARGE(INDEX((スコア!$AF$8:$AF$86&gt;3)*ROW(スコア!$AF$8:$AF$86),),COUNTIF(スコア!$AF:$AF,"&gt;3")-ROW(C17)+1)),"")</f>
        <v/>
      </c>
      <c r="E26" s="2231"/>
      <c r="F26" s="2232"/>
    </row>
    <row r="27" spans="2:6" ht="19.5" customHeight="1">
      <c r="B27" s="2252" t="str">
        <f>IF(COUNTIF(スコア!$AF:$AF,"&gt;3")&gt;=ROW(A18),INDEX(スコア!AE:AE,LARGE(INDEX((スコア!$AF$8:$AF$86&gt;3)*ROW(スコア!$AF$8:$AF$86),),COUNTIF(スコア!$AF:$AF,"&gt;3")-ROW(A18)+1)),"")</f>
        <v/>
      </c>
      <c r="C27" s="2253" t="str">
        <f>IF(COUNTIF(スコア!$AF:$AF,"&gt;3")&gt;=ROW(B18),INDEX(スコア!AF:AF,LARGE(INDEX((スコア!$AF$8:$AF$86&gt;3)*ROW(スコア!$AF$8:$AF$86),),COUNTIF(スコア!$AF:$AF,"&gt;3")-ROW(B18)+1)),"")</f>
        <v/>
      </c>
      <c r="D27" s="2253" t="str">
        <f>IF(COUNTIF(スコア!$AF:$AF,"&gt;3")&gt;=ROW(C18),INDEX(スコア!AG:AG,LARGE(INDEX((スコア!$AF$8:$AF$86&gt;3)*ROW(スコア!$AF$8:$AF$86),),COUNTIF(スコア!$AF:$AF,"&gt;3")-ROW(C18)+1)),"")</f>
        <v/>
      </c>
      <c r="E27" s="2231"/>
      <c r="F27" s="2232"/>
    </row>
    <row r="28" spans="2:6" ht="19.5" customHeight="1">
      <c r="B28" s="2252" t="str">
        <f>IF(COUNTIF(スコア!$AF:$AF,"&gt;3")&gt;=ROW(A19),INDEX(スコア!AE:AE,LARGE(INDEX((スコア!$AF$8:$AF$86&gt;3)*ROW(スコア!$AF$8:$AF$86),),COUNTIF(スコア!$AF:$AF,"&gt;3")-ROW(A19)+1)),"")</f>
        <v/>
      </c>
      <c r="C28" s="2253" t="str">
        <f>IF(COUNTIF(スコア!$AF:$AF,"&gt;3")&gt;=ROW(B19),INDEX(スコア!AF:AF,LARGE(INDEX((スコア!$AF$8:$AF$86&gt;3)*ROW(スコア!$AF$8:$AF$86),),COUNTIF(スコア!$AF:$AF,"&gt;3")-ROW(B19)+1)),"")</f>
        <v/>
      </c>
      <c r="D28" s="2253" t="str">
        <f>IF(COUNTIF(スコア!$AF:$AF,"&gt;3")&gt;=ROW(C19),INDEX(スコア!AG:AG,LARGE(INDEX((スコア!$AF$8:$AF$86&gt;3)*ROW(スコア!$AF$8:$AF$86),),COUNTIF(スコア!$AF:$AF,"&gt;3")-ROW(C19)+1)),"")</f>
        <v/>
      </c>
      <c r="E28" s="2231"/>
      <c r="F28" s="2232"/>
    </row>
    <row r="29" spans="2:6" ht="19.5" customHeight="1">
      <c r="B29" s="2252" t="str">
        <f>IF(COUNTIF(スコア!$AF:$AF,"&gt;3")&gt;=ROW(A20),INDEX(スコア!AE:AE,LARGE(INDEX((スコア!$AF$8:$AF$86&gt;3)*ROW(スコア!$AF$8:$AF$86),),COUNTIF(スコア!$AF:$AF,"&gt;3")-ROW(A20)+1)),"")</f>
        <v/>
      </c>
      <c r="C29" s="2253" t="str">
        <f>IF(COUNTIF(スコア!$AF:$AF,"&gt;3")&gt;=ROW(B20),INDEX(スコア!AF:AF,LARGE(INDEX((スコア!$AF$8:$AF$86&gt;3)*ROW(スコア!$AF$8:$AF$86),),COUNTIF(スコア!$AF:$AF,"&gt;3")-ROW(B20)+1)),"")</f>
        <v/>
      </c>
      <c r="D29" s="2253" t="str">
        <f>IF(COUNTIF(スコア!$AF:$AF,"&gt;3")&gt;=ROW(C20),INDEX(スコア!AG:AG,LARGE(INDEX((スコア!$AF$8:$AF$86&gt;3)*ROW(スコア!$AF$8:$AF$86),),COUNTIF(スコア!$AF:$AF,"&gt;3")-ROW(C20)+1)),"")</f>
        <v/>
      </c>
      <c r="E29" s="2231"/>
      <c r="F29" s="2232"/>
    </row>
    <row r="30" spans="2:6" ht="19.5" customHeight="1">
      <c r="B30" s="2252" t="str">
        <f>IF(COUNTIF(スコア!$AF:$AF,"&gt;3")&gt;=ROW(A21),INDEX(スコア!AE:AE,LARGE(INDEX((スコア!$AF$8:$AF$86&gt;3)*ROW(スコア!$AF$8:$AF$86),),COUNTIF(スコア!$AF:$AF,"&gt;3")-ROW(A21)+1)),"")</f>
        <v/>
      </c>
      <c r="C30" s="2253" t="str">
        <f>IF(COUNTIF(スコア!$AF:$AF,"&gt;3")&gt;=ROW(B21),INDEX(スコア!AF:AF,LARGE(INDEX((スコア!$AF$8:$AF$86&gt;3)*ROW(スコア!$AF$8:$AF$86),),COUNTIF(スコア!$AF:$AF,"&gt;3")-ROW(B21)+1)),"")</f>
        <v/>
      </c>
      <c r="D30" s="2253" t="str">
        <f>IF(COUNTIF(スコア!$AF:$AF,"&gt;3")&gt;=ROW(C21),INDEX(スコア!AG:AG,LARGE(INDEX((スコア!$AF$8:$AF$86&gt;3)*ROW(スコア!$AF$8:$AF$86),),COUNTIF(スコア!$AF:$AF,"&gt;3")-ROW(C21)+1)),"")</f>
        <v/>
      </c>
      <c r="E30" s="2231"/>
      <c r="F30" s="2232"/>
    </row>
    <row r="31" spans="2:6" ht="19.5" customHeight="1">
      <c r="B31" s="2252" t="str">
        <f>IF(COUNTIF(スコア!$AF:$AF,"&gt;3")&gt;=ROW(A22),INDEX(スコア!AE:AE,LARGE(INDEX((スコア!$AF$8:$AF$86&gt;3)*ROW(スコア!$AF$8:$AF$86),),COUNTIF(スコア!$AF:$AF,"&gt;3")-ROW(A22)+1)),"")</f>
        <v/>
      </c>
      <c r="C31" s="2253" t="str">
        <f>IF(COUNTIF(スコア!$AF:$AF,"&gt;3")&gt;=ROW(B22),INDEX(スコア!AF:AF,LARGE(INDEX((スコア!$AF$8:$AF$86&gt;3)*ROW(スコア!$AF$8:$AF$86),),COUNTIF(スコア!$AF:$AF,"&gt;3")-ROW(B22)+1)),"")</f>
        <v/>
      </c>
      <c r="D31" s="2253" t="str">
        <f>IF(COUNTIF(スコア!$AF:$AF,"&gt;3")&gt;=ROW(C22),INDEX(スコア!AG:AG,LARGE(INDEX((スコア!$AF$8:$AF$86&gt;3)*ROW(スコア!$AF$8:$AF$86),),COUNTIF(スコア!$AF:$AF,"&gt;3")-ROW(C22)+1)),"")</f>
        <v/>
      </c>
      <c r="E31" s="2231"/>
      <c r="F31" s="2232"/>
    </row>
    <row r="32" spans="2:6" ht="19.5" customHeight="1">
      <c r="B32" s="2252" t="str">
        <f>IF(COUNTIF(スコア!$AF:$AF,"&gt;3")&gt;=ROW(A23),INDEX(スコア!AE:AE,LARGE(INDEX((スコア!$AF$8:$AF$86&gt;3)*ROW(スコア!$AF$8:$AF$86),),COUNTIF(スコア!$AF:$AF,"&gt;3")-ROW(A23)+1)),"")</f>
        <v/>
      </c>
      <c r="C32" s="2253" t="str">
        <f>IF(COUNTIF(スコア!$AF:$AF,"&gt;3")&gt;=ROW(B23),INDEX(スコア!AF:AF,LARGE(INDEX((スコア!$AF$8:$AF$86&gt;3)*ROW(スコア!$AF$8:$AF$86),),COUNTIF(スコア!$AF:$AF,"&gt;3")-ROW(B23)+1)),"")</f>
        <v/>
      </c>
      <c r="D32" s="2253" t="str">
        <f>IF(COUNTIF(スコア!$AF:$AF,"&gt;3")&gt;=ROW(C23),INDEX(スコア!AG:AG,LARGE(INDEX((スコア!$AF$8:$AF$86&gt;3)*ROW(スコア!$AF$8:$AF$86),),COUNTIF(スコア!$AF:$AF,"&gt;3")-ROW(C23)+1)),"")</f>
        <v/>
      </c>
      <c r="E32" s="2231"/>
      <c r="F32" s="2232"/>
    </row>
    <row r="33" spans="2:6" ht="19.5" customHeight="1">
      <c r="B33" s="2252" t="str">
        <f>IF(COUNTIF(スコア!$AF:$AF,"&gt;3")&gt;=ROW(A24),INDEX(スコア!AE:AE,LARGE(INDEX((スコア!$AF$8:$AF$86&gt;3)*ROW(スコア!$AF$8:$AF$86),),COUNTIF(スコア!$AF:$AF,"&gt;3")-ROW(A24)+1)),"")</f>
        <v/>
      </c>
      <c r="C33" s="2253" t="str">
        <f>IF(COUNTIF(スコア!$AF:$AF,"&gt;3")&gt;=ROW(B24),INDEX(スコア!AF:AF,LARGE(INDEX((スコア!$AF$8:$AF$86&gt;3)*ROW(スコア!$AF$8:$AF$86),),COUNTIF(スコア!$AF:$AF,"&gt;3")-ROW(B24)+1)),"")</f>
        <v/>
      </c>
      <c r="D33" s="2253" t="str">
        <f>IF(COUNTIF(スコア!$AF:$AF,"&gt;3")&gt;=ROW(C24),INDEX(スコア!AG:AG,LARGE(INDEX((スコア!$AF$8:$AF$86&gt;3)*ROW(スコア!$AF$8:$AF$86),),COUNTIF(スコア!$AF:$AF,"&gt;3")-ROW(C24)+1)),"")</f>
        <v/>
      </c>
      <c r="E33" s="2231"/>
      <c r="F33" s="2232"/>
    </row>
    <row r="34" spans="2:6" ht="19.5" customHeight="1">
      <c r="B34" s="2252" t="str">
        <f>IF(COUNTIF(スコア!$AF:$AF,"&gt;3")&gt;=ROW(A25),INDEX(スコア!AE:AE,LARGE(INDEX((スコア!$AF$8:$AF$86&gt;3)*ROW(スコア!$AF$8:$AF$86),),COUNTIF(スコア!$AF:$AF,"&gt;3")-ROW(A25)+1)),"")</f>
        <v/>
      </c>
      <c r="C34" s="2253" t="str">
        <f>IF(COUNTIF(スコア!$AF:$AF,"&gt;3")&gt;=ROW(B25),INDEX(スコア!AF:AF,LARGE(INDEX((スコア!$AF$8:$AF$86&gt;3)*ROW(スコア!$AF$8:$AF$86),),COUNTIF(スコア!$AF:$AF,"&gt;3")-ROW(B25)+1)),"")</f>
        <v/>
      </c>
      <c r="D34" s="2253" t="str">
        <f>IF(COUNTIF(スコア!$AF:$AF,"&gt;3")&gt;=ROW(C25),INDEX(スコア!AG:AG,LARGE(INDEX((スコア!$AF$8:$AF$86&gt;3)*ROW(スコア!$AF$8:$AF$86),),COUNTIF(スコア!$AF:$AF,"&gt;3")-ROW(C25)+1)),"")</f>
        <v/>
      </c>
      <c r="E34" s="2231"/>
      <c r="F34" s="2232"/>
    </row>
    <row r="35" spans="2:6" ht="19.5" customHeight="1">
      <c r="B35" s="2252" t="str">
        <f>IF(COUNTIF(スコア!$AF:$AF,"&gt;3")&gt;=ROW(A26),INDEX(スコア!AE:AE,LARGE(INDEX((スコア!$AF$8:$AF$86&gt;3)*ROW(スコア!$AF$8:$AF$86),),COUNTIF(スコア!$AF:$AF,"&gt;3")-ROW(A26)+1)),"")</f>
        <v/>
      </c>
      <c r="C35" s="2253" t="str">
        <f>IF(COUNTIF(スコア!$AF:$AF,"&gt;3")&gt;=ROW(B26),INDEX(スコア!AF:AF,LARGE(INDEX((スコア!$AF$8:$AF$86&gt;3)*ROW(スコア!$AF$8:$AF$86),),COUNTIF(スコア!$AF:$AF,"&gt;3")-ROW(B26)+1)),"")</f>
        <v/>
      </c>
      <c r="D35" s="2253" t="str">
        <f>IF(COUNTIF(スコア!$AF:$AF,"&gt;3")&gt;=ROW(C26),INDEX(スコア!AG:AG,LARGE(INDEX((スコア!$AF$8:$AF$86&gt;3)*ROW(スコア!$AF$8:$AF$86),),COUNTIF(スコア!$AF:$AF,"&gt;3")-ROW(C26)+1)),"")</f>
        <v/>
      </c>
      <c r="E35" s="2231"/>
      <c r="F35" s="2232"/>
    </row>
    <row r="36" spans="2:6" ht="19.5" customHeight="1">
      <c r="B36" s="2252" t="str">
        <f>IF(COUNTIF(スコア!$AF:$AF,"&gt;3")&gt;=ROW(A27),INDEX(スコア!AE:AE,LARGE(INDEX((スコア!$AF$8:$AF$86&gt;3)*ROW(スコア!$AF$8:$AF$86),),COUNTIF(スコア!$AF:$AF,"&gt;3")-ROW(A27)+1)),"")</f>
        <v/>
      </c>
      <c r="C36" s="2253" t="str">
        <f>IF(COUNTIF(スコア!$AF:$AF,"&gt;3")&gt;=ROW(B27),INDEX(スコア!AF:AF,LARGE(INDEX((スコア!$AF$8:$AF$86&gt;3)*ROW(スコア!$AF$8:$AF$86),),COUNTIF(スコア!$AF:$AF,"&gt;3")-ROW(B27)+1)),"")</f>
        <v/>
      </c>
      <c r="D36" s="2253" t="str">
        <f>IF(COUNTIF(スコア!$AF:$AF,"&gt;3")&gt;=ROW(C27),INDEX(スコア!AG:AG,LARGE(INDEX((スコア!$AF$8:$AF$86&gt;3)*ROW(スコア!$AF$8:$AF$86),),COUNTIF(スコア!$AF:$AF,"&gt;3")-ROW(C27)+1)),"")</f>
        <v/>
      </c>
      <c r="E36" s="2231"/>
      <c r="F36" s="2232"/>
    </row>
    <row r="37" spans="2:6" ht="19.5" customHeight="1">
      <c r="B37" s="2252" t="str">
        <f>IF(COUNTIF(スコア!$AF:$AF,"&gt;3")&gt;=ROW(A28),INDEX(スコア!AE:AE,LARGE(INDEX((スコア!$AF$8:$AF$86&gt;3)*ROW(スコア!$AF$8:$AF$86),),COUNTIF(スコア!$AF:$AF,"&gt;3")-ROW(A28)+1)),"")</f>
        <v/>
      </c>
      <c r="C37" s="2253" t="str">
        <f>IF(COUNTIF(スコア!$AF:$AF,"&gt;3")&gt;=ROW(B28),INDEX(スコア!AF:AF,LARGE(INDEX((スコア!$AF$8:$AF$86&gt;3)*ROW(スコア!$AF$8:$AF$86),),COUNTIF(スコア!$AF:$AF,"&gt;3")-ROW(B28)+1)),"")</f>
        <v/>
      </c>
      <c r="D37" s="2253" t="str">
        <f>IF(COUNTIF(スコア!$AF:$AF,"&gt;3")&gt;=ROW(C28),INDEX(スコア!AG:AG,LARGE(INDEX((スコア!$AF$8:$AF$86&gt;3)*ROW(スコア!$AF$8:$AF$86),),COUNTIF(スコア!$AF:$AF,"&gt;3")-ROW(C28)+1)),"")</f>
        <v/>
      </c>
      <c r="E37" s="2231"/>
      <c r="F37" s="2232"/>
    </row>
    <row r="38" spans="2:6" ht="19.5" customHeight="1">
      <c r="B38" s="2252" t="str">
        <f>IF(COUNTIF(スコア!$AF:$AF,"&gt;3")&gt;=ROW(A29),INDEX(スコア!AE:AE,LARGE(INDEX((スコア!$AF$8:$AF$86&gt;3)*ROW(スコア!$AF$8:$AF$86),),COUNTIF(スコア!$AF:$AF,"&gt;3")-ROW(A29)+1)),"")</f>
        <v/>
      </c>
      <c r="C38" s="2253" t="str">
        <f>IF(COUNTIF(スコア!$AF:$AF,"&gt;3")&gt;=ROW(B29),INDEX(スコア!AF:AF,LARGE(INDEX((スコア!$AF$8:$AF$86&gt;3)*ROW(スコア!$AF$8:$AF$86),),COUNTIF(スコア!$AF:$AF,"&gt;3")-ROW(B29)+1)),"")</f>
        <v/>
      </c>
      <c r="D38" s="2253" t="str">
        <f>IF(COUNTIF(スコア!$AF:$AF,"&gt;3")&gt;=ROW(C29),INDEX(スコア!AG:AG,LARGE(INDEX((スコア!$AF$8:$AF$86&gt;3)*ROW(スコア!$AF$8:$AF$86),),COUNTIF(スコア!$AF:$AF,"&gt;3")-ROW(C29)+1)),"")</f>
        <v/>
      </c>
      <c r="E38" s="2231"/>
      <c r="F38" s="2232"/>
    </row>
    <row r="39" spans="2:6" ht="19.5" customHeight="1">
      <c r="B39" s="2252" t="str">
        <f>IF(COUNTIF(スコア!$AF:$AF,"&gt;3")&gt;=ROW(A30),INDEX(スコア!AE:AE,LARGE(INDEX((スコア!$AF$8:$AF$86&gt;3)*ROW(スコア!$AF$8:$AF$86),),COUNTIF(スコア!$AF:$AF,"&gt;3")-ROW(A30)+1)),"")</f>
        <v/>
      </c>
      <c r="C39" s="2253" t="str">
        <f>IF(COUNTIF(スコア!$AF:$AF,"&gt;3")&gt;=ROW(B30),INDEX(スコア!AF:AF,LARGE(INDEX((スコア!$AF$8:$AF$86&gt;3)*ROW(スコア!$AF$8:$AF$86),),COUNTIF(スコア!$AF:$AF,"&gt;3")-ROW(B30)+1)),"")</f>
        <v/>
      </c>
      <c r="D39" s="2253" t="str">
        <f>IF(COUNTIF(スコア!$AF:$AF,"&gt;3")&gt;=ROW(C30),INDEX(スコア!AG:AG,LARGE(INDEX((スコア!$AF$8:$AF$86&gt;3)*ROW(スコア!$AF$8:$AF$86),),COUNTIF(スコア!$AF:$AF,"&gt;3")-ROW(C30)+1)),"")</f>
        <v/>
      </c>
      <c r="E39" s="2231"/>
      <c r="F39" s="2232"/>
    </row>
    <row r="40" spans="2:6" ht="19.5" customHeight="1">
      <c r="B40" s="2252" t="str">
        <f>IF(COUNTIF(スコア!$AF:$AF,"&gt;3")&gt;=ROW(A31),INDEX(スコア!AE:AE,LARGE(INDEX((スコア!$AF$8:$AF$86&gt;3)*ROW(スコア!$AF$8:$AF$86),),COUNTIF(スコア!$AF:$AF,"&gt;3")-ROW(A31)+1)),"")</f>
        <v/>
      </c>
      <c r="C40" s="2253" t="str">
        <f>IF(COUNTIF(スコア!$AF:$AF,"&gt;3")&gt;=ROW(B31),INDEX(スコア!AF:AF,LARGE(INDEX((スコア!$AF$8:$AF$86&gt;3)*ROW(スコア!$AF$8:$AF$86),),COUNTIF(スコア!$AF:$AF,"&gt;3")-ROW(B31)+1)),"")</f>
        <v/>
      </c>
      <c r="D40" s="2253" t="str">
        <f>IF(COUNTIF(スコア!$AF:$AF,"&gt;3")&gt;=ROW(C31),INDEX(スコア!AG:AG,LARGE(INDEX((スコア!$AF$8:$AF$86&gt;3)*ROW(スコア!$AF$8:$AF$86),),COUNTIF(スコア!$AF:$AF,"&gt;3")-ROW(C31)+1)),"")</f>
        <v/>
      </c>
      <c r="E40" s="2231"/>
      <c r="F40" s="2232"/>
    </row>
    <row r="41" spans="2:6" ht="19.5" customHeight="1">
      <c r="B41" s="2252" t="str">
        <f>IF(COUNTIF(スコア!$AF:$AF,"&gt;3")&gt;=ROW(A32),INDEX(スコア!AE:AE,LARGE(INDEX((スコア!$AF$8:$AF$86&gt;3)*ROW(スコア!$AF$8:$AF$86),),COUNTIF(スコア!$AF:$AF,"&gt;3")-ROW(A32)+1)),"")</f>
        <v/>
      </c>
      <c r="C41" s="2253" t="str">
        <f>IF(COUNTIF(スコア!$AF:$AF,"&gt;3")&gt;=ROW(B32),INDEX(スコア!AF:AF,LARGE(INDEX((スコア!$AF$8:$AF$86&gt;3)*ROW(スコア!$AF$8:$AF$86),),COUNTIF(スコア!$AF:$AF,"&gt;3")-ROW(B32)+1)),"")</f>
        <v/>
      </c>
      <c r="D41" s="2253" t="str">
        <f>IF(COUNTIF(スコア!$AF:$AF,"&gt;3")&gt;=ROW(C32),INDEX(スコア!AG:AG,LARGE(INDEX((スコア!$AF$8:$AF$86&gt;3)*ROW(スコア!$AF$8:$AF$86),),COUNTIF(スコア!$AF:$AF,"&gt;3")-ROW(C32)+1)),"")</f>
        <v/>
      </c>
      <c r="E41" s="2231"/>
      <c r="F41" s="2232"/>
    </row>
    <row r="42" spans="2:6" ht="19.5" customHeight="1">
      <c r="B42" s="2252" t="str">
        <f>IF(COUNTIF(スコア!$AF:$AF,"&gt;3")&gt;=ROW(A33),INDEX(スコア!AE:AE,LARGE(INDEX((スコア!$AF$8:$AF$86&gt;3)*ROW(スコア!$AF$8:$AF$86),),COUNTIF(スコア!$AF:$AF,"&gt;3")-ROW(A33)+1)),"")</f>
        <v/>
      </c>
      <c r="C42" s="2253" t="str">
        <f>IF(COUNTIF(スコア!$AF:$AF,"&gt;3")&gt;=ROW(B33),INDEX(スコア!AF:AF,LARGE(INDEX((スコア!$AF$8:$AF$86&gt;3)*ROW(スコア!$AF$8:$AF$86),),COUNTIF(スコア!$AF:$AF,"&gt;3")-ROW(B33)+1)),"")</f>
        <v/>
      </c>
      <c r="D42" s="2253" t="str">
        <f>IF(COUNTIF(スコア!$AF:$AF,"&gt;3")&gt;=ROW(C33),INDEX(スコア!AG:AG,LARGE(INDEX((スコア!$AF$8:$AF$86&gt;3)*ROW(スコア!$AF$8:$AF$86),),COUNTIF(スコア!$AF:$AF,"&gt;3")-ROW(C33)+1)),"")</f>
        <v/>
      </c>
      <c r="E42" s="2231"/>
      <c r="F42" s="2232"/>
    </row>
    <row r="43" spans="2:6" ht="19.5" customHeight="1">
      <c r="B43" s="2252" t="str">
        <f>IF(COUNTIF(スコア!$AF:$AF,"&gt;3")&gt;=ROW(A34),INDEX(スコア!AE:AE,LARGE(INDEX((スコア!$AF$8:$AF$86&gt;3)*ROW(スコア!$AF$8:$AF$86),),COUNTIF(スコア!$AF:$AF,"&gt;3")-ROW(A34)+1)),"")</f>
        <v/>
      </c>
      <c r="C43" s="2253" t="str">
        <f>IF(COUNTIF(スコア!$AF:$AF,"&gt;3")&gt;=ROW(B34),INDEX(スコア!AF:AF,LARGE(INDEX((スコア!$AF$8:$AF$86&gt;3)*ROW(スコア!$AF$8:$AF$86),),COUNTIF(スコア!$AF:$AF,"&gt;3")-ROW(B34)+1)),"")</f>
        <v/>
      </c>
      <c r="D43" s="2253" t="str">
        <f>IF(COUNTIF(スコア!$AF:$AF,"&gt;3")&gt;=ROW(C34),INDEX(スコア!AG:AG,LARGE(INDEX((スコア!$AF$8:$AF$86&gt;3)*ROW(スコア!$AF$8:$AF$86),),COUNTIF(スコア!$AF:$AF,"&gt;3")-ROW(C34)+1)),"")</f>
        <v/>
      </c>
      <c r="E43" s="2231"/>
      <c r="F43" s="2232"/>
    </row>
    <row r="44" spans="2:6" ht="19.5" customHeight="1">
      <c r="B44" s="2252" t="str">
        <f>IF(COUNTIF(スコア!$AF:$AF,"&gt;3")&gt;=ROW(A35),INDEX(スコア!AE:AE,LARGE(INDEX((スコア!$AF$8:$AF$86&gt;3)*ROW(スコア!$AF$8:$AF$86),),COUNTIF(スコア!$AF:$AF,"&gt;3")-ROW(A35)+1)),"")</f>
        <v/>
      </c>
      <c r="C44" s="2253" t="str">
        <f>IF(COUNTIF(スコア!$AF:$AF,"&gt;3")&gt;=ROW(B35),INDEX(スコア!AF:AF,LARGE(INDEX((スコア!$AF$8:$AF$86&gt;3)*ROW(スコア!$AF$8:$AF$86),),COUNTIF(スコア!$AF:$AF,"&gt;3")-ROW(B35)+1)),"")</f>
        <v/>
      </c>
      <c r="D44" s="2253" t="str">
        <f>IF(COUNTIF(スコア!$AF:$AF,"&gt;3")&gt;=ROW(C35),INDEX(スコア!AG:AG,LARGE(INDEX((スコア!$AF$8:$AF$86&gt;3)*ROW(スコア!$AF$8:$AF$86),),COUNTIF(スコア!$AF:$AF,"&gt;3")-ROW(C35)+1)),"")</f>
        <v/>
      </c>
      <c r="E44" s="2231"/>
      <c r="F44" s="2232"/>
    </row>
    <row r="45" spans="2:6" ht="19.5" customHeight="1">
      <c r="B45" s="2252" t="str">
        <f>IF(COUNTIF(スコア!$AF:$AF,"&gt;3")&gt;=ROW(A36),INDEX(スコア!AE:AE,LARGE(INDEX((スコア!$AF$8:$AF$86&gt;3)*ROW(スコア!$AF$8:$AF$86),),COUNTIF(スコア!$AF:$AF,"&gt;3")-ROW(A36)+1)),"")</f>
        <v/>
      </c>
      <c r="C45" s="2253" t="str">
        <f>IF(COUNTIF(スコア!$AF:$AF,"&gt;3")&gt;=ROW(B36),INDEX(スコア!AF:AF,LARGE(INDEX((スコア!$AF$8:$AF$86&gt;3)*ROW(スコア!$AF$8:$AF$86),),COUNTIF(スコア!$AF:$AF,"&gt;3")-ROW(B36)+1)),"")</f>
        <v/>
      </c>
      <c r="D45" s="2253" t="str">
        <f>IF(COUNTIF(スコア!$AF:$AF,"&gt;3")&gt;=ROW(C36),INDEX(スコア!AG:AG,LARGE(INDEX((スコア!$AF$8:$AF$86&gt;3)*ROW(スコア!$AF$8:$AF$86),),COUNTIF(スコア!$AF:$AF,"&gt;3")-ROW(C36)+1)),"")</f>
        <v/>
      </c>
      <c r="E45" s="2231"/>
      <c r="F45" s="2232"/>
    </row>
    <row r="46" spans="2:6" ht="19.5" customHeight="1">
      <c r="B46" s="2252" t="str">
        <f>IF(COUNTIF(スコア!$AF:$AF,"&gt;3")&gt;=ROW(A37),INDEX(スコア!AE:AE,LARGE(INDEX((スコア!$AF$8:$AF$86&gt;3)*ROW(スコア!$AF$8:$AF$86),),COUNTIF(スコア!$AF:$AF,"&gt;3")-ROW(A37)+1)),"")</f>
        <v/>
      </c>
      <c r="C46" s="2253" t="str">
        <f>IF(COUNTIF(スコア!$AF:$AF,"&gt;3")&gt;=ROW(B37),INDEX(スコア!AF:AF,LARGE(INDEX((スコア!$AF$8:$AF$86&gt;3)*ROW(スコア!$AF$8:$AF$86),),COUNTIF(スコア!$AF:$AF,"&gt;3")-ROW(B37)+1)),"")</f>
        <v/>
      </c>
      <c r="D46" s="2253" t="str">
        <f>IF(COUNTIF(スコア!$AF:$AF,"&gt;3")&gt;=ROW(C37),INDEX(スコア!AG:AG,LARGE(INDEX((スコア!$AF$8:$AF$86&gt;3)*ROW(スコア!$AF$8:$AF$86),),COUNTIF(スコア!$AF:$AF,"&gt;3")-ROW(C37)+1)),"")</f>
        <v/>
      </c>
      <c r="E46" s="2231"/>
      <c r="F46" s="2232"/>
    </row>
    <row r="47" spans="2:6" ht="19.5" customHeight="1">
      <c r="B47" s="2252" t="str">
        <f>IF(COUNTIF(スコア!$AF:$AF,"&gt;3")&gt;=ROW(A38),INDEX(スコア!AE:AE,LARGE(INDEX((スコア!$AF$8:$AF$86&gt;3)*ROW(スコア!$AF$8:$AF$86),),COUNTIF(スコア!$AF:$AF,"&gt;3")-ROW(A38)+1)),"")</f>
        <v/>
      </c>
      <c r="C47" s="2253" t="str">
        <f>IF(COUNTIF(スコア!$AF:$AF,"&gt;3")&gt;=ROW(B38),INDEX(スコア!AF:AF,LARGE(INDEX((スコア!$AF$8:$AF$86&gt;3)*ROW(スコア!$AF$8:$AF$86),),COUNTIF(スコア!$AF:$AF,"&gt;3")-ROW(B38)+1)),"")</f>
        <v/>
      </c>
      <c r="D47" s="2253" t="str">
        <f>IF(COUNTIF(スコア!$AF:$AF,"&gt;3")&gt;=ROW(C38),INDEX(スコア!AG:AG,LARGE(INDEX((スコア!$AF$8:$AF$86&gt;3)*ROW(スコア!$AF$8:$AF$86),),COUNTIF(スコア!$AF:$AF,"&gt;3")-ROW(C38)+1)),"")</f>
        <v/>
      </c>
      <c r="E47" s="2231"/>
      <c r="F47" s="2232"/>
    </row>
    <row r="48" spans="2:6" ht="19.5" customHeight="1">
      <c r="B48" s="2252" t="str">
        <f>IF(COUNTIF(スコア!$AF:$AF,"&gt;3")&gt;=ROW(A39),INDEX(スコア!AE:AE,LARGE(INDEX((スコア!$AF$8:$AF$86&gt;3)*ROW(スコア!$AF$8:$AF$86),),COUNTIF(スコア!$AF:$AF,"&gt;3")-ROW(A39)+1)),"")</f>
        <v/>
      </c>
      <c r="C48" s="2253" t="str">
        <f>IF(COUNTIF(スコア!$AF:$AF,"&gt;3")&gt;=ROW(B39),INDEX(スコア!AF:AF,LARGE(INDEX((スコア!$AF$8:$AF$86&gt;3)*ROW(スコア!$AF$8:$AF$86),),COUNTIF(スコア!$AF:$AF,"&gt;3")-ROW(B39)+1)),"")</f>
        <v/>
      </c>
      <c r="D48" s="2253" t="str">
        <f>IF(COUNTIF(スコア!$AF:$AF,"&gt;3")&gt;=ROW(C39),INDEX(スコア!AG:AG,LARGE(INDEX((スコア!$AF$8:$AF$86&gt;3)*ROW(スコア!$AF$8:$AF$86),),COUNTIF(スコア!$AF:$AF,"&gt;3")-ROW(C39)+1)),"")</f>
        <v/>
      </c>
      <c r="E48" s="2231"/>
      <c r="F48" s="2232"/>
    </row>
    <row r="49" spans="2:6" ht="19.5" customHeight="1">
      <c r="B49" s="2252" t="str">
        <f>IF(COUNTIF(スコア!$AF:$AF,"&gt;3")&gt;=ROW(A40),INDEX(スコア!AE:AE,LARGE(INDEX((スコア!$AF$8:$AF$86&gt;3)*ROW(スコア!$AF$8:$AF$86),),COUNTIF(スコア!$AF:$AF,"&gt;3")-ROW(A40)+1)),"")</f>
        <v/>
      </c>
      <c r="C49" s="2253" t="str">
        <f>IF(COUNTIF(スコア!$AF:$AF,"&gt;3")&gt;=ROW(B40),INDEX(スコア!AF:AF,LARGE(INDEX((スコア!$AF$8:$AF$86&gt;3)*ROW(スコア!$AF$8:$AF$86),),COUNTIF(スコア!$AF:$AF,"&gt;3")-ROW(B40)+1)),"")</f>
        <v/>
      </c>
      <c r="D49" s="2253" t="str">
        <f>IF(COUNTIF(スコア!$AF:$AF,"&gt;3")&gt;=ROW(C40),INDEX(スコア!AG:AG,LARGE(INDEX((スコア!$AF$8:$AF$86&gt;3)*ROW(スコア!$AF$8:$AF$86),),COUNTIF(スコア!$AF:$AF,"&gt;3")-ROW(C40)+1)),"")</f>
        <v/>
      </c>
      <c r="E49" s="2231"/>
      <c r="F49" s="2232"/>
    </row>
    <row r="50" spans="2:6" ht="19.5" customHeight="1">
      <c r="B50" s="2252" t="str">
        <f>IF(COUNTIF(スコア!$AF:$AF,"&gt;3")&gt;=ROW(A41),INDEX(スコア!AE:AE,LARGE(INDEX((スコア!$AF$8:$AF$86&gt;3)*ROW(スコア!$AF$8:$AF$86),),COUNTIF(スコア!$AF:$AF,"&gt;3")-ROW(A41)+1)),"")</f>
        <v/>
      </c>
      <c r="C50" s="2253" t="str">
        <f>IF(COUNTIF(スコア!$AF:$AF,"&gt;3")&gt;=ROW(B41),INDEX(スコア!AF:AF,LARGE(INDEX((スコア!$AF$8:$AF$86&gt;3)*ROW(スコア!$AF$8:$AF$86),),COUNTIF(スコア!$AF:$AF,"&gt;3")-ROW(B41)+1)),"")</f>
        <v/>
      </c>
      <c r="D50" s="2253" t="str">
        <f>IF(COUNTIF(スコア!$AF:$AF,"&gt;3")&gt;=ROW(C41),INDEX(スコア!AG:AG,LARGE(INDEX((スコア!$AF$8:$AF$86&gt;3)*ROW(スコア!$AF$8:$AF$86),),COUNTIF(スコア!$AF:$AF,"&gt;3")-ROW(C41)+1)),"")</f>
        <v/>
      </c>
      <c r="E50" s="2231"/>
      <c r="F50" s="2232"/>
    </row>
    <row r="51" spans="2:6" ht="19.5" customHeight="1">
      <c r="B51" s="2252" t="str">
        <f>IF(COUNTIF(スコア!$AF:$AF,"&gt;3")&gt;=ROW(A42),INDEX(スコア!AE:AE,LARGE(INDEX((スコア!$AF$8:$AF$86&gt;3)*ROW(スコア!$AF$8:$AF$86),),COUNTIF(スコア!$AF:$AF,"&gt;3")-ROW(A42)+1)),"")</f>
        <v/>
      </c>
      <c r="C51" s="2253" t="str">
        <f>IF(COUNTIF(スコア!$AF:$AF,"&gt;3")&gt;=ROW(B42),INDEX(スコア!AF:AF,LARGE(INDEX((スコア!$AF$8:$AF$86&gt;3)*ROW(スコア!$AF$8:$AF$86),),COUNTIF(スコア!$AF:$AF,"&gt;3")-ROW(B42)+1)),"")</f>
        <v/>
      </c>
      <c r="D51" s="2253" t="str">
        <f>IF(COUNTIF(スコア!$AF:$AF,"&gt;3")&gt;=ROW(C42),INDEX(スコア!AG:AG,LARGE(INDEX((スコア!$AF$8:$AF$86&gt;3)*ROW(スコア!$AF$8:$AF$86),),COUNTIF(スコア!$AF:$AF,"&gt;3")-ROW(C42)+1)),"")</f>
        <v/>
      </c>
      <c r="E51" s="2231"/>
      <c r="F51" s="2232"/>
    </row>
    <row r="52" spans="2:6" ht="19.5" customHeight="1">
      <c r="B52" s="2252" t="str">
        <f>IF(COUNTIF(スコア!$AF:$AF,"&gt;3")&gt;=ROW(A43),INDEX(スコア!AE:AE,LARGE(INDEX((スコア!$AF$8:$AF$86&gt;3)*ROW(スコア!$AF$8:$AF$86),),COUNTIF(スコア!$AF:$AF,"&gt;3")-ROW(A43)+1)),"")</f>
        <v/>
      </c>
      <c r="C52" s="2253" t="str">
        <f>IF(COUNTIF(スコア!$AF:$AF,"&gt;3")&gt;=ROW(B43),INDEX(スコア!AF:AF,LARGE(INDEX((スコア!$AF$8:$AF$86&gt;3)*ROW(スコア!$AF$8:$AF$86),),COUNTIF(スコア!$AF:$AF,"&gt;3")-ROW(B43)+1)),"")</f>
        <v/>
      </c>
      <c r="D52" s="2253" t="str">
        <f>IF(COUNTIF(スコア!$AF:$AF,"&gt;3")&gt;=ROW(C43),INDEX(スコア!AG:AG,LARGE(INDEX((スコア!$AF$8:$AF$86&gt;3)*ROW(スコア!$AF$8:$AF$86),),COUNTIF(スコア!$AF:$AF,"&gt;3")-ROW(C43)+1)),"")</f>
        <v/>
      </c>
      <c r="E52" s="2231"/>
      <c r="F52" s="2232"/>
    </row>
    <row r="53" spans="2:6" ht="19.5" customHeight="1">
      <c r="B53" s="2252" t="str">
        <f>IF(COUNTIF(スコア!$AF:$AF,"&gt;3")&gt;=ROW(A44),INDEX(スコア!AE:AE,LARGE(INDEX((スコア!$AF$8:$AF$86&gt;3)*ROW(スコア!$AF$8:$AF$86),),COUNTIF(スコア!$AF:$AF,"&gt;3")-ROW(A44)+1)),"")</f>
        <v/>
      </c>
      <c r="C53" s="2253" t="str">
        <f>IF(COUNTIF(スコア!$AF:$AF,"&gt;3")&gt;=ROW(B44),INDEX(スコア!AF:AF,LARGE(INDEX((スコア!$AF$8:$AF$86&gt;3)*ROW(スコア!$AF$8:$AF$86),),COUNTIF(スコア!$AF:$AF,"&gt;3")-ROW(B44)+1)),"")</f>
        <v/>
      </c>
      <c r="D53" s="2253" t="str">
        <f>IF(COUNTIF(スコア!$AF:$AF,"&gt;3")&gt;=ROW(C44),INDEX(スコア!AG:AG,LARGE(INDEX((スコア!$AF$8:$AF$86&gt;3)*ROW(スコア!$AF$8:$AF$86),),COUNTIF(スコア!$AF:$AF,"&gt;3")-ROW(C44)+1)),"")</f>
        <v/>
      </c>
      <c r="E53" s="2231"/>
      <c r="F53" s="2232"/>
    </row>
    <row r="54" spans="2:6" ht="19.5" customHeight="1">
      <c r="B54" s="2252" t="str">
        <f>IF(COUNTIF(スコア!$AF:$AF,"&gt;3")&gt;=ROW(A45),INDEX(スコア!AE:AE,LARGE(INDEX((スコア!$AF$8:$AF$86&gt;3)*ROW(スコア!$AF$8:$AF$86),),COUNTIF(スコア!$AF:$AF,"&gt;3")-ROW(A45)+1)),"")</f>
        <v/>
      </c>
      <c r="C54" s="2253" t="str">
        <f>IF(COUNTIF(スコア!$AF:$AF,"&gt;3")&gt;=ROW(B45),INDEX(スコア!AF:AF,LARGE(INDEX((スコア!$AF$8:$AF$86&gt;3)*ROW(スコア!$AF$8:$AF$86),),COUNTIF(スコア!$AF:$AF,"&gt;3")-ROW(B45)+1)),"")</f>
        <v/>
      </c>
      <c r="D54" s="2253" t="str">
        <f>IF(COUNTIF(スコア!$AF:$AF,"&gt;3")&gt;=ROW(C45),INDEX(スコア!AG:AG,LARGE(INDEX((スコア!$AF$8:$AF$86&gt;3)*ROW(スコア!$AF$8:$AF$86),),COUNTIF(スコア!$AF:$AF,"&gt;3")-ROW(C45)+1)),"")</f>
        <v/>
      </c>
      <c r="E54" s="2231"/>
      <c r="F54" s="2232"/>
    </row>
    <row r="55" spans="2:6" ht="19.5" customHeight="1">
      <c r="B55" s="2252" t="str">
        <f>IF(COUNTIF(スコア!$AF:$AF,"&gt;3")&gt;=ROW(A46),INDEX(スコア!AE:AE,LARGE(INDEX((スコア!$AF$8:$AF$86&gt;3)*ROW(スコア!$AF$8:$AF$86),),COUNTIF(スコア!$AF:$AF,"&gt;3")-ROW(A46)+1)),"")</f>
        <v/>
      </c>
      <c r="C55" s="2253" t="str">
        <f>IF(COUNTIF(スコア!$AF:$AF,"&gt;3")&gt;=ROW(B46),INDEX(スコア!AF:AF,LARGE(INDEX((スコア!$AF$8:$AF$86&gt;3)*ROW(スコア!$AF$8:$AF$86),),COUNTIF(スコア!$AF:$AF,"&gt;3")-ROW(B46)+1)),"")</f>
        <v/>
      </c>
      <c r="D55" s="2253" t="str">
        <f>IF(COUNTIF(スコア!$AF:$AF,"&gt;3")&gt;=ROW(C46),INDEX(スコア!AG:AG,LARGE(INDEX((スコア!$AF$8:$AF$86&gt;3)*ROW(スコア!$AF$8:$AF$86),),COUNTIF(スコア!$AF:$AF,"&gt;3")-ROW(C46)+1)),"")</f>
        <v/>
      </c>
      <c r="E55" s="2231"/>
      <c r="F55" s="2232"/>
    </row>
    <row r="56" spans="2:6" ht="19.5" customHeight="1">
      <c r="B56" s="2252" t="str">
        <f>IF(COUNTIF(スコア!$AF:$AF,"&gt;3")&gt;=ROW(A47),INDEX(スコア!AE:AE,LARGE(INDEX((スコア!$AF$8:$AF$86&gt;3)*ROW(スコア!$AF$8:$AF$86),),COUNTIF(スコア!$AF:$AF,"&gt;3")-ROW(A47)+1)),"")</f>
        <v/>
      </c>
      <c r="C56" s="2253" t="str">
        <f>IF(COUNTIF(スコア!$AF:$AF,"&gt;3")&gt;=ROW(B47),INDEX(スコア!AF:AF,LARGE(INDEX((スコア!$AF$8:$AF$86&gt;3)*ROW(スコア!$AF$8:$AF$86),),COUNTIF(スコア!$AF:$AF,"&gt;3")-ROW(B47)+1)),"")</f>
        <v/>
      </c>
      <c r="D56" s="2253" t="str">
        <f>IF(COUNTIF(スコア!$AF:$AF,"&gt;3")&gt;=ROW(C47),INDEX(スコア!AG:AG,LARGE(INDEX((スコア!$AF$8:$AF$86&gt;3)*ROW(スコア!$AF$8:$AF$86),),COUNTIF(スコア!$AF:$AF,"&gt;3")-ROW(C47)+1)),"")</f>
        <v/>
      </c>
      <c r="E56" s="2231"/>
      <c r="F56" s="2232"/>
    </row>
    <row r="57" spans="2:6" ht="19.5" customHeight="1">
      <c r="B57" s="2252" t="str">
        <f>IF(COUNTIF(スコア!$AF:$AF,"&gt;3")&gt;=ROW(A48),INDEX(スコア!AE:AE,LARGE(INDEX((スコア!$AF$8:$AF$86&gt;3)*ROW(スコア!$AF$8:$AF$86),),COUNTIF(スコア!$AF:$AF,"&gt;3")-ROW(A48)+1)),"")</f>
        <v/>
      </c>
      <c r="C57" s="2253" t="str">
        <f>IF(COUNTIF(スコア!$AF:$AF,"&gt;3")&gt;=ROW(B48),INDEX(スコア!AF:AF,LARGE(INDEX((スコア!$AF$8:$AF$86&gt;3)*ROW(スコア!$AF$8:$AF$86),),COUNTIF(スコア!$AF:$AF,"&gt;3")-ROW(B48)+1)),"")</f>
        <v/>
      </c>
      <c r="D57" s="2253" t="str">
        <f>IF(COUNTIF(スコア!$AF:$AF,"&gt;3")&gt;=ROW(C48),INDEX(スコア!AG:AG,LARGE(INDEX((スコア!$AF$8:$AF$86&gt;3)*ROW(スコア!$AF$8:$AF$86),),COUNTIF(スコア!$AF:$AF,"&gt;3")-ROW(C48)+1)),"")</f>
        <v/>
      </c>
      <c r="E57" s="2231"/>
      <c r="F57" s="2232"/>
    </row>
  </sheetData>
  <sheetProtection password="CC47" sheet="1" objects="1" scenarios="1"/>
  <mergeCells count="1">
    <mergeCell ref="B3:F3"/>
  </mergeCells>
  <phoneticPr fontId="4"/>
  <pageMargins left="0.9055118110236221" right="0.51181102362204722" top="0.74803149606299213" bottom="0.74803149606299213" header="0.31496062992125984" footer="0.31496062992125984"/>
  <pageSetup paperSize="9" orientation="portrait" r:id="rId1"/>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sheetPr codeName="Sheet16">
    <pageSetUpPr autoPageBreaks="0" fitToPage="1"/>
  </sheetPr>
  <dimension ref="B1:IP104"/>
  <sheetViews>
    <sheetView showGridLines="0" topLeftCell="A10" zoomScaleNormal="100" workbookViewId="0">
      <selection activeCell="M15" sqref="M15"/>
    </sheetView>
  </sheetViews>
  <sheetFormatPr defaultColWidth="0" defaultRowHeight="13.5" zeroHeight="1"/>
  <cols>
    <col min="1" max="1" width="1.625" customWidth="1"/>
    <col min="2" max="2" width="5.625" customWidth="1"/>
    <col min="3" max="3" width="33.625" customWidth="1"/>
    <col min="4" max="4" width="8.875" bestFit="1" customWidth="1"/>
    <col min="5" max="5" width="8.875" hidden="1" customWidth="1"/>
    <col min="6" max="6" width="1.625" customWidth="1"/>
    <col min="7" max="7" width="8.875" bestFit="1" customWidth="1"/>
    <col min="8" max="8" width="8.875" hidden="1" customWidth="1"/>
    <col min="9" max="9" width="8.875" bestFit="1" customWidth="1"/>
    <col min="10" max="10" width="8.875" hidden="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451" t="s">
        <v>401</v>
      </c>
      <c r="C2" s="1452"/>
      <c r="D2" s="1453"/>
      <c r="E2" s="1479"/>
      <c r="F2" s="1519"/>
      <c r="G2" s="1479"/>
      <c r="H2" s="1479"/>
      <c r="I2" s="1520"/>
      <c r="J2" s="1520"/>
      <c r="K2" s="1479"/>
      <c r="L2" s="1479"/>
      <c r="M2" s="1479"/>
      <c r="N2" s="1479"/>
      <c r="O2" s="1521"/>
      <c r="P2" s="1522" t="s">
        <v>31</v>
      </c>
      <c r="Q2" s="1489"/>
      <c r="R2" s="1523"/>
      <c r="S2" s="1487"/>
      <c r="T2" s="1487"/>
      <c r="U2" s="1487"/>
      <c r="V2" s="1487"/>
      <c r="W2" s="1487"/>
      <c r="X2" s="1487"/>
      <c r="Y2" s="1487"/>
      <c r="Z2" s="1487"/>
      <c r="AA2" s="1487"/>
      <c r="AB2" s="1487"/>
      <c r="AC2" s="1487"/>
      <c r="AD2" s="1487"/>
      <c r="AE2" s="1524"/>
      <c r="AF2" s="1523"/>
      <c r="AG2" s="1523"/>
      <c r="AH2" s="1523"/>
      <c r="AI2" s="1523"/>
      <c r="AJ2" s="1523"/>
      <c r="AK2" s="1523"/>
      <c r="AL2" s="1523"/>
      <c r="AM2" s="1523"/>
      <c r="AN2" s="1523"/>
      <c r="AO2" s="1523"/>
      <c r="AP2" s="1523"/>
      <c r="AQ2" s="1523"/>
      <c r="AR2" s="1523"/>
      <c r="AS2" s="1523"/>
      <c r="AT2" s="1523"/>
      <c r="AU2" s="1525"/>
      <c r="AV2" s="1526"/>
      <c r="AW2" s="1523"/>
      <c r="AX2" s="1527"/>
      <c r="AY2" s="1523"/>
    </row>
    <row r="3" spans="2:51" ht="17.25">
      <c r="B3" s="1454"/>
      <c r="C3" s="1452"/>
      <c r="D3" s="1453"/>
      <c r="E3" s="1479"/>
      <c r="F3" s="1519"/>
      <c r="G3" s="1479"/>
      <c r="H3" s="1479"/>
      <c r="I3" s="1520"/>
      <c r="J3" s="1520"/>
      <c r="K3" s="1479"/>
      <c r="L3" s="1479"/>
      <c r="M3" s="1479"/>
      <c r="N3" s="1479"/>
      <c r="O3" s="1521"/>
      <c r="P3" s="1528">
        <f>IF(メイン!E31="基本設計段階",1,2)</f>
        <v>2</v>
      </c>
      <c r="Q3" s="1523"/>
      <c r="R3" s="1529"/>
      <c r="S3" s="1487"/>
      <c r="T3" s="1487"/>
      <c r="U3" s="1487"/>
      <c r="V3" s="1487"/>
      <c r="W3" s="1487"/>
      <c r="X3" s="1487"/>
      <c r="Y3" s="1487"/>
      <c r="Z3" s="1487"/>
      <c r="AA3" s="1487"/>
      <c r="AB3" s="1487"/>
      <c r="AC3" s="1487"/>
      <c r="AD3" s="1487"/>
      <c r="AE3" s="1524"/>
      <c r="AF3" s="1530" t="s">
        <v>333</v>
      </c>
      <c r="AG3" s="1531"/>
      <c r="AH3" s="1532"/>
      <c r="AI3" s="1487"/>
      <c r="AJ3" s="1487"/>
      <c r="AK3" s="1487"/>
      <c r="AL3" s="1487"/>
      <c r="AM3" s="1487"/>
      <c r="AN3" s="1487"/>
      <c r="AO3" s="1487"/>
      <c r="AP3" s="1487"/>
      <c r="AQ3" s="1487"/>
      <c r="AR3" s="1487"/>
      <c r="AS3" s="1487"/>
      <c r="AT3" s="1487"/>
      <c r="AU3" s="1525"/>
      <c r="AV3" s="1484" t="s">
        <v>31</v>
      </c>
      <c r="AW3" s="1485"/>
      <c r="AX3" s="1486"/>
      <c r="AY3" s="1487"/>
    </row>
    <row r="4" spans="2:51" ht="4.5" customHeight="1">
      <c r="B4" s="1454"/>
      <c r="C4" s="1452"/>
      <c r="D4" s="1453"/>
      <c r="E4" s="1479"/>
      <c r="F4" s="1519"/>
      <c r="G4" s="1479"/>
      <c r="H4" s="1479"/>
      <c r="I4" s="1520"/>
      <c r="J4" s="1520"/>
      <c r="K4" s="1479"/>
      <c r="L4" s="1479"/>
      <c r="M4" s="1479"/>
      <c r="N4" s="1479"/>
      <c r="O4" s="1521"/>
      <c r="P4" s="1489"/>
      <c r="Q4" s="1489"/>
      <c r="R4" s="1529"/>
      <c r="S4" s="1487"/>
      <c r="T4" s="1487"/>
      <c r="U4" s="1487"/>
      <c r="V4" s="1487"/>
      <c r="W4" s="1487"/>
      <c r="X4" s="1487"/>
      <c r="Y4" s="1487"/>
      <c r="Z4" s="1487"/>
      <c r="AA4" s="1487"/>
      <c r="AB4" s="1487"/>
      <c r="AC4" s="1487"/>
      <c r="AD4" s="1487"/>
      <c r="AE4" s="1524"/>
      <c r="AF4" s="1489"/>
      <c r="AG4" s="1489"/>
      <c r="AH4" s="1529"/>
      <c r="AI4" s="1487"/>
      <c r="AJ4" s="1487"/>
      <c r="AK4" s="1487"/>
      <c r="AL4" s="1487"/>
      <c r="AM4" s="1487"/>
      <c r="AN4" s="1487"/>
      <c r="AO4" s="1487"/>
      <c r="AP4" s="1487"/>
      <c r="AQ4" s="1487"/>
      <c r="AR4" s="1487"/>
      <c r="AS4" s="1487"/>
      <c r="AT4" s="1487"/>
      <c r="AU4" s="1525"/>
      <c r="AV4" s="1488"/>
      <c r="AW4" s="1489"/>
      <c r="AX4" s="1490"/>
      <c r="AY4" s="1487"/>
    </row>
    <row r="5" spans="2:51">
      <c r="B5" s="2700"/>
      <c r="C5" s="2701"/>
      <c r="D5" s="1455" t="s">
        <v>58</v>
      </c>
      <c r="E5" s="1533"/>
      <c r="F5" s="1534"/>
      <c r="G5" s="1480" t="s">
        <v>57</v>
      </c>
      <c r="H5" s="1535"/>
      <c r="I5" s="1536" t="s">
        <v>189</v>
      </c>
      <c r="J5" s="1537"/>
      <c r="K5" s="1480" t="s">
        <v>384</v>
      </c>
      <c r="L5" s="1535"/>
      <c r="M5" s="1480" t="s">
        <v>93</v>
      </c>
      <c r="N5" s="1535"/>
      <c r="O5" s="1538"/>
      <c r="P5" s="1492"/>
      <c r="Q5" s="1492"/>
      <c r="R5" s="1492"/>
      <c r="S5" s="1539" t="s">
        <v>842</v>
      </c>
      <c r="T5" s="1539"/>
      <c r="U5" s="1539"/>
      <c r="V5" s="1539"/>
      <c r="W5" s="1539"/>
      <c r="X5" s="1539"/>
      <c r="Y5" s="1539"/>
      <c r="Z5" s="1539"/>
      <c r="AA5" s="1539"/>
      <c r="AB5" s="1539"/>
      <c r="AC5" s="1539"/>
      <c r="AD5" s="1539"/>
      <c r="AE5" s="1540"/>
      <c r="AF5" s="1492"/>
      <c r="AG5" s="1492"/>
      <c r="AH5" s="1492"/>
      <c r="AI5" s="1494"/>
      <c r="AJ5" s="1541"/>
      <c r="AK5" s="1541"/>
      <c r="AL5" s="1541"/>
      <c r="AM5" s="1541"/>
      <c r="AN5" s="1541"/>
      <c r="AO5" s="1541"/>
      <c r="AP5" s="1541"/>
      <c r="AQ5" s="1542"/>
      <c r="AR5" s="2704"/>
      <c r="AS5" s="2704"/>
      <c r="AT5" s="2704"/>
      <c r="AU5" s="1543"/>
      <c r="AV5" s="1491"/>
      <c r="AW5" s="1492"/>
      <c r="AX5" s="1493"/>
      <c r="AY5" s="1494" t="s">
        <v>842</v>
      </c>
    </row>
    <row r="6" spans="2:51" hidden="1">
      <c r="B6" s="2702"/>
      <c r="C6" s="2703"/>
      <c r="D6" s="1457" t="s">
        <v>843</v>
      </c>
      <c r="E6" s="1457" t="s">
        <v>188</v>
      </c>
      <c r="F6" s="1534"/>
      <c r="G6" s="1457" t="s">
        <v>843</v>
      </c>
      <c r="H6" s="1457" t="s">
        <v>188</v>
      </c>
      <c r="I6" s="1457" t="s">
        <v>843</v>
      </c>
      <c r="J6" s="1457" t="s">
        <v>188</v>
      </c>
      <c r="K6" s="1457" t="s">
        <v>843</v>
      </c>
      <c r="L6" s="1457" t="s">
        <v>188</v>
      </c>
      <c r="M6" s="1457" t="s">
        <v>843</v>
      </c>
      <c r="N6" s="1457" t="s">
        <v>188</v>
      </c>
      <c r="O6" s="1538"/>
      <c r="P6" s="1492"/>
      <c r="Q6" s="1492" t="s">
        <v>467</v>
      </c>
      <c r="R6" s="1492" t="s">
        <v>839</v>
      </c>
      <c r="S6" s="1495" t="s">
        <v>402</v>
      </c>
      <c r="T6" s="1495"/>
      <c r="U6" s="1495"/>
      <c r="V6" s="1495"/>
      <c r="W6" s="1495"/>
      <c r="X6" s="1495"/>
      <c r="Y6" s="1495"/>
      <c r="Z6" s="1544"/>
      <c r="AA6" s="1495"/>
      <c r="AB6" s="1545"/>
      <c r="AC6" s="1495"/>
      <c r="AD6" s="1495"/>
      <c r="AE6" s="1546"/>
      <c r="AF6" s="1492"/>
      <c r="AG6" s="1492" t="s">
        <v>467</v>
      </c>
      <c r="AH6" s="1492" t="s">
        <v>839</v>
      </c>
      <c r="AI6" s="1495"/>
      <c r="AJ6" s="1495"/>
      <c r="AK6" s="1495"/>
      <c r="AL6" s="1495"/>
      <c r="AM6" s="1495"/>
      <c r="AN6" s="1495"/>
      <c r="AO6" s="1495"/>
      <c r="AP6" s="1544"/>
      <c r="AQ6" s="1495"/>
      <c r="AR6" s="1545"/>
      <c r="AS6" s="1495"/>
      <c r="AT6" s="1495"/>
      <c r="AU6" s="1543"/>
      <c r="AV6" s="1491"/>
      <c r="AW6" s="1492" t="s">
        <v>467</v>
      </c>
      <c r="AX6" s="1493" t="s">
        <v>839</v>
      </c>
      <c r="AY6" s="1495" t="s">
        <v>472</v>
      </c>
    </row>
    <row r="7" spans="2:51">
      <c r="B7" s="1456"/>
      <c r="C7" s="1458" t="s">
        <v>651</v>
      </c>
      <c r="D7" s="1459">
        <f>1-E7</f>
        <v>1</v>
      </c>
      <c r="E7" s="1457"/>
      <c r="F7" s="1534"/>
      <c r="G7" s="1457"/>
      <c r="H7" s="1457"/>
      <c r="I7" s="1457"/>
      <c r="J7" s="1457"/>
      <c r="K7" s="1457"/>
      <c r="L7" s="1457"/>
      <c r="M7" s="1457"/>
      <c r="N7" s="1457"/>
      <c r="O7" s="1538"/>
      <c r="P7" s="1492"/>
      <c r="Q7" s="1492" t="s">
        <v>329</v>
      </c>
      <c r="R7" s="1492" t="s">
        <v>173</v>
      </c>
      <c r="S7" s="1547">
        <f>メイン!N9/メイン!N20</f>
        <v>1</v>
      </c>
      <c r="T7" s="1547">
        <f>メイン!N10/メイン!N20</f>
        <v>0</v>
      </c>
      <c r="U7" s="1547">
        <f>メイン!N12/メイン!N20</f>
        <v>0</v>
      </c>
      <c r="V7" s="1547">
        <f>メイン!N13/メイン!N20</f>
        <v>0</v>
      </c>
      <c r="W7" s="1547">
        <f>メイン!N15/メイン!N20</f>
        <v>0</v>
      </c>
      <c r="X7" s="1547">
        <f>メイン!N16/メイン!N20</f>
        <v>0</v>
      </c>
      <c r="Y7" s="1547">
        <f>メイン!N18/メイン!N20</f>
        <v>0</v>
      </c>
      <c r="Z7" s="1548">
        <f>メイン!N14/メイン!N20</f>
        <v>0</v>
      </c>
      <c r="AA7" s="1547">
        <f>メイン!N19/メイン!N20</f>
        <v>0</v>
      </c>
      <c r="AB7" s="1547">
        <f>W7</f>
        <v>0</v>
      </c>
      <c r="AC7" s="1547">
        <f>X7</f>
        <v>0</v>
      </c>
      <c r="AD7" s="1547">
        <f>Y7</f>
        <v>0</v>
      </c>
      <c r="AE7" s="1546"/>
      <c r="AF7" s="1492"/>
      <c r="AG7" s="1492"/>
      <c r="AH7" s="1492"/>
      <c r="AI7" s="1496"/>
      <c r="AJ7" s="1496"/>
      <c r="AK7" s="1496"/>
      <c r="AL7" s="1496"/>
      <c r="AM7" s="1496"/>
      <c r="AN7" s="1496"/>
      <c r="AO7" s="1496"/>
      <c r="AP7" s="1549"/>
      <c r="AQ7" s="1496"/>
      <c r="AR7" s="1496"/>
      <c r="AS7" s="1496"/>
      <c r="AT7" s="1496"/>
      <c r="AU7" s="1543"/>
      <c r="AV7" s="1491"/>
      <c r="AW7" s="1492"/>
      <c r="AX7" s="1493"/>
      <c r="AY7" s="1496"/>
    </row>
    <row r="8" spans="2:51" ht="16.5">
      <c r="B8" s="1460" t="s">
        <v>652</v>
      </c>
      <c r="C8" s="1461" t="str">
        <f>R8</f>
        <v>すまいの環境品質</v>
      </c>
      <c r="D8" s="1462"/>
      <c r="E8" s="1481"/>
      <c r="F8" s="824"/>
      <c r="G8" s="1481"/>
      <c r="H8" s="1481"/>
      <c r="I8" s="1481">
        <f>G9+G29+G44</f>
        <v>1</v>
      </c>
      <c r="J8" s="1481">
        <f>H9+H29+H44</f>
        <v>0</v>
      </c>
      <c r="K8" s="1481"/>
      <c r="L8" s="1481"/>
      <c r="M8" s="1481"/>
      <c r="N8" s="1481"/>
      <c r="O8" s="1550"/>
      <c r="P8" s="1551" t="str">
        <f t="shared" ref="P8:P18" si="0">IF($P$3=1,AF8,AV8)</f>
        <v>QH</v>
      </c>
      <c r="Q8" s="1497"/>
      <c r="R8" s="1551" t="str">
        <f t="shared" ref="R8:R17" si="1">IF($P$3=1,AH8,AX8)</f>
        <v>すまいの環境品質</v>
      </c>
      <c r="S8" s="1552"/>
      <c r="T8" s="1552"/>
      <c r="U8" s="1552"/>
      <c r="V8" s="1552"/>
      <c r="W8" s="1552">
        <f>1-メイン!I22</f>
        <v>1</v>
      </c>
      <c r="X8" s="1552">
        <f>1-メイン!I23</f>
        <v>1</v>
      </c>
      <c r="Y8" s="1552">
        <f>1-メイン!I24</f>
        <v>1</v>
      </c>
      <c r="Z8" s="1553"/>
      <c r="AA8" s="1552"/>
      <c r="AB8" s="1554">
        <f>メイン!I22</f>
        <v>0</v>
      </c>
      <c r="AC8" s="1555">
        <f>メイン!I23</f>
        <v>0</v>
      </c>
      <c r="AD8" s="1552">
        <f>メイン!I24</f>
        <v>0</v>
      </c>
      <c r="AE8" s="1556"/>
      <c r="AF8" s="1492"/>
      <c r="AG8" s="1492"/>
      <c r="AH8" s="1492"/>
      <c r="AI8" s="1557"/>
      <c r="AJ8" s="1557"/>
      <c r="AK8" s="1557"/>
      <c r="AL8" s="1557"/>
      <c r="AM8" s="1557"/>
      <c r="AN8" s="1557"/>
      <c r="AO8" s="1557"/>
      <c r="AP8" s="1558"/>
      <c r="AQ8" s="1557"/>
      <c r="AR8" s="1557"/>
      <c r="AS8" s="1557"/>
      <c r="AT8" s="1557"/>
      <c r="AU8" s="1543"/>
      <c r="AV8" s="1460" t="s">
        <v>652</v>
      </c>
      <c r="AW8" s="1497"/>
      <c r="AX8" s="1498" t="s">
        <v>653</v>
      </c>
      <c r="AY8" s="1499"/>
    </row>
    <row r="9" spans="2:51">
      <c r="B9" s="1463" t="s">
        <v>654</v>
      </c>
      <c r="C9" s="1464" t="str">
        <f t="shared" ref="C9:C18" si="2">R9</f>
        <v>室内環境を快適・健康・安心にする</v>
      </c>
      <c r="D9" s="1465">
        <f>IF(I$8=0,0,G9/I$8)</f>
        <v>0.45</v>
      </c>
      <c r="E9" s="1465">
        <f>IF(J$8=0,0,H9/J$8)</f>
        <v>0</v>
      </c>
      <c r="F9" s="1559"/>
      <c r="G9" s="1482">
        <f t="shared" ref="G9:G50" si="3">K9*((S$7*S9)+(T$7*T9)+(U$7*U9)+(V$7*V9)+(W$7*W9)+(X$7*X9)+(Y$7*Y9)+(Z$7*Z9)+(AA$7*AA9))</f>
        <v>0.45</v>
      </c>
      <c r="H9" s="1482">
        <f>L9*((AB$7*AB9)+(AC$7*AC9)+(AD$7*AD9))</f>
        <v>0</v>
      </c>
      <c r="I9" s="1482">
        <f>G10+G20+G25+G28</f>
        <v>1</v>
      </c>
      <c r="J9" s="1482">
        <f>H10+H20+H25+H28</f>
        <v>0</v>
      </c>
      <c r="K9" s="1482">
        <f>IF(スコア!S9=0,0,1)</f>
        <v>1</v>
      </c>
      <c r="L9" s="1482">
        <f>IF(スコア!Q9=0,0,1)</f>
        <v>0</v>
      </c>
      <c r="M9" s="1482">
        <f t="shared" ref="M9:M40" si="4">(S$7*S9)+(T$7*T9)+(U$7*U9)+(V$7*V9)+(W$7*W9)+(X$7*X9)+(Y$7*Y9)+(Z$7*Z9)+(AA$7*AA9)</f>
        <v>0.45</v>
      </c>
      <c r="N9" s="1482">
        <f t="shared" ref="N9:N40" si="5">(AB$7*AB9)+(AC$7*AC9)+(AD$7*AD9)</f>
        <v>0</v>
      </c>
      <c r="O9" s="1560"/>
      <c r="P9" s="1561" t="str">
        <f t="shared" si="0"/>
        <v>QH1</v>
      </c>
      <c r="Q9" s="1561" t="str">
        <f t="shared" ref="Q9:Q17" si="6">IF($P$3=1,AG9,AW9)</f>
        <v>1</v>
      </c>
      <c r="R9" s="1561" t="str">
        <f t="shared" si="1"/>
        <v>室内環境を快適・健康・安心にする</v>
      </c>
      <c r="S9" s="1562">
        <f t="shared" ref="S9:S17" si="7">IF($P$3=1,AI9,AY9)</f>
        <v>0.45</v>
      </c>
      <c r="T9" s="1562">
        <f t="shared" ref="T9:T17" si="8">IF($P$3=1,AJ9,AZ9)</f>
        <v>0</v>
      </c>
      <c r="U9" s="1562">
        <f t="shared" ref="U9:U17" si="9">IF($P$3=1,AK9,BA9)</f>
        <v>0</v>
      </c>
      <c r="V9" s="1562">
        <f t="shared" ref="V9:V17" si="10">IF($P$3=1,AL9,BB9)</f>
        <v>0</v>
      </c>
      <c r="W9" s="1562">
        <f t="shared" ref="W9:W17" si="11">IF($P$3=1,AM9,BC9)</f>
        <v>0</v>
      </c>
      <c r="X9" s="1562">
        <f t="shared" ref="X9:X17" si="12">IF($P$3=1,AN9,BD9)</f>
        <v>0</v>
      </c>
      <c r="Y9" s="1562">
        <f t="shared" ref="Y9:Y17" si="13">IF($P$3=1,AO9,BE9)</f>
        <v>0</v>
      </c>
      <c r="Z9" s="1562">
        <f t="shared" ref="Z9:Z17" si="14">IF($P$3=1,AP9,BF9)</f>
        <v>0</v>
      </c>
      <c r="AA9" s="1562">
        <f t="shared" ref="AA9:AA17" si="15">IF($P$3=1,AQ9,BG9)</f>
        <v>0</v>
      </c>
      <c r="AB9" s="1563">
        <f t="shared" ref="AB9:AB17" si="16">IF($P$3=1,AR9,BH9)</f>
        <v>0</v>
      </c>
      <c r="AC9" s="1562">
        <f t="shared" ref="AC9:AC17" si="17">IF($P$3=1,AS9,BI9)</f>
        <v>0</v>
      </c>
      <c r="AD9" s="1562">
        <f t="shared" ref="AD9:AD17" si="18">IF($P$3=1,AT9,BJ9)</f>
        <v>0</v>
      </c>
      <c r="AE9" s="1546"/>
      <c r="AF9" s="1492"/>
      <c r="AG9" s="1492"/>
      <c r="AH9" s="1492"/>
      <c r="AI9" s="1496"/>
      <c r="AJ9" s="1496"/>
      <c r="AK9" s="1496"/>
      <c r="AL9" s="1496"/>
      <c r="AM9" s="1496"/>
      <c r="AN9" s="1496"/>
      <c r="AO9" s="1496"/>
      <c r="AP9" s="1549"/>
      <c r="AQ9" s="1496"/>
      <c r="AR9" s="1496"/>
      <c r="AS9" s="1496"/>
      <c r="AT9" s="1496"/>
      <c r="AU9" s="1543"/>
      <c r="AV9" s="1463" t="s">
        <v>654</v>
      </c>
      <c r="AW9" s="1463" t="s">
        <v>519</v>
      </c>
      <c r="AX9" s="1464" t="s">
        <v>655</v>
      </c>
      <c r="AY9" s="1500">
        <v>0.45</v>
      </c>
    </row>
    <row r="10" spans="2:51">
      <c r="B10" s="1466">
        <f t="shared" ref="B10:B18" si="19">P10</f>
        <v>1</v>
      </c>
      <c r="C10" s="1467" t="str">
        <f t="shared" si="2"/>
        <v>暑さ・寒さ</v>
      </c>
      <c r="D10" s="1468">
        <f>IF(I$9=0,0,G10/I$9)</f>
        <v>0.5</v>
      </c>
      <c r="E10" s="1468">
        <f>IF(J$9=0,0,H10/J$9)</f>
        <v>0</v>
      </c>
      <c r="F10" s="1559"/>
      <c r="G10" s="1476">
        <f>K10*((S$7*S10)+(T$7*T10)+(U$7*U10)+(V$7*V10)+(W$7*W10)+(X$7*X10)+(Y$7*Y10)+(Z$7*Z10)+(AA$7*AA10))</f>
        <v>0.5</v>
      </c>
      <c r="H10" s="1476">
        <f t="shared" ref="H10:H50" si="20">L10*((AB$7*AB10)+(AC$7*AC10)+(AD$7*AD10))</f>
        <v>0</v>
      </c>
      <c r="I10" s="1476">
        <f>G11+G14+G17</f>
        <v>1</v>
      </c>
      <c r="J10" s="1478">
        <f>H11+H14+H17</f>
        <v>0</v>
      </c>
      <c r="K10" s="1476">
        <f>IF(スコア!O10=0,0,1)</f>
        <v>1</v>
      </c>
      <c r="L10" s="1476">
        <f>IF(スコア!Q10=0,0,1)</f>
        <v>0</v>
      </c>
      <c r="M10" s="1476">
        <f t="shared" si="4"/>
        <v>0.5</v>
      </c>
      <c r="N10" s="1476">
        <f t="shared" si="5"/>
        <v>0</v>
      </c>
      <c r="O10" s="1560"/>
      <c r="P10" s="1466">
        <f t="shared" si="0"/>
        <v>1</v>
      </c>
      <c r="Q10" s="1466" t="str">
        <f t="shared" si="6"/>
        <v>1.1</v>
      </c>
      <c r="R10" s="1466" t="str">
        <f t="shared" si="1"/>
        <v>暑さ・寒さ</v>
      </c>
      <c r="S10" s="1564">
        <f t="shared" si="7"/>
        <v>0.5</v>
      </c>
      <c r="T10" s="1564">
        <f t="shared" si="8"/>
        <v>0</v>
      </c>
      <c r="U10" s="1564">
        <f t="shared" si="9"/>
        <v>0</v>
      </c>
      <c r="V10" s="1564">
        <f t="shared" si="10"/>
        <v>0</v>
      </c>
      <c r="W10" s="1564">
        <f t="shared" si="11"/>
        <v>0</v>
      </c>
      <c r="X10" s="1564">
        <f t="shared" si="12"/>
        <v>0</v>
      </c>
      <c r="Y10" s="1564">
        <f t="shared" si="13"/>
        <v>0</v>
      </c>
      <c r="Z10" s="1565">
        <f t="shared" si="14"/>
        <v>0</v>
      </c>
      <c r="AA10" s="1564">
        <f t="shared" si="15"/>
        <v>0</v>
      </c>
      <c r="AB10" s="1566">
        <f t="shared" si="16"/>
        <v>0</v>
      </c>
      <c r="AC10" s="1564">
        <f t="shared" si="17"/>
        <v>0</v>
      </c>
      <c r="AD10" s="1564">
        <f t="shared" si="18"/>
        <v>0</v>
      </c>
      <c r="AE10" s="1546"/>
      <c r="AF10" s="1492"/>
      <c r="AG10" s="1492"/>
      <c r="AH10" s="1492"/>
      <c r="AI10" s="1496"/>
      <c r="AJ10" s="1496"/>
      <c r="AK10" s="1496"/>
      <c r="AL10" s="1496"/>
      <c r="AM10" s="1496"/>
      <c r="AN10" s="1496"/>
      <c r="AO10" s="1496"/>
      <c r="AP10" s="1549"/>
      <c r="AQ10" s="1496"/>
      <c r="AR10" s="1496"/>
      <c r="AS10" s="1496"/>
      <c r="AT10" s="1496"/>
      <c r="AU10" s="1543"/>
      <c r="AV10" s="1501">
        <v>1</v>
      </c>
      <c r="AW10" s="1501" t="s">
        <v>520</v>
      </c>
      <c r="AX10" s="1467" t="s">
        <v>473</v>
      </c>
      <c r="AY10" s="1502">
        <v>0.5</v>
      </c>
    </row>
    <row r="11" spans="2:51">
      <c r="B11" s="1469">
        <f t="shared" si="19"/>
        <v>1.1000000000000001</v>
      </c>
      <c r="C11" s="1470" t="str">
        <f t="shared" si="2"/>
        <v>基本性能</v>
      </c>
      <c r="D11" s="1471">
        <f>IF(I$10=0,0,G11/I$10)</f>
        <v>0.5</v>
      </c>
      <c r="E11" s="1471">
        <f>IF(J$10=0,0,H11/J$10)</f>
        <v>0</v>
      </c>
      <c r="F11" s="1534"/>
      <c r="G11" s="1471">
        <f t="shared" si="3"/>
        <v>0.5</v>
      </c>
      <c r="H11" s="1483">
        <f t="shared" si="20"/>
        <v>0</v>
      </c>
      <c r="I11" s="1471">
        <f>SUM(G12:G13)</f>
        <v>1</v>
      </c>
      <c r="J11" s="1478">
        <f>SUM(H12:H13)</f>
        <v>0</v>
      </c>
      <c r="K11" s="1483">
        <f>IF(スコア!O11=0,0,1)</f>
        <v>1</v>
      </c>
      <c r="L11" s="1483">
        <f>IF(スコア!Q11=0,0,1)</f>
        <v>0</v>
      </c>
      <c r="M11" s="1483">
        <f t="shared" si="4"/>
        <v>0.5</v>
      </c>
      <c r="N11" s="1483">
        <f t="shared" si="5"/>
        <v>0</v>
      </c>
      <c r="O11" s="1538"/>
      <c r="P11" s="1474">
        <f t="shared" si="0"/>
        <v>1.1000000000000001</v>
      </c>
      <c r="Q11" s="1474" t="str">
        <f t="shared" si="6"/>
        <v>1.1.1</v>
      </c>
      <c r="R11" s="1474" t="str">
        <f t="shared" si="1"/>
        <v>基本性能</v>
      </c>
      <c r="S11" s="1567">
        <f t="shared" si="7"/>
        <v>0.5</v>
      </c>
      <c r="T11" s="1567">
        <f t="shared" si="8"/>
        <v>0</v>
      </c>
      <c r="U11" s="1567">
        <f t="shared" si="9"/>
        <v>0</v>
      </c>
      <c r="V11" s="1567">
        <f t="shared" si="10"/>
        <v>0</v>
      </c>
      <c r="W11" s="1567">
        <f t="shared" si="11"/>
        <v>0</v>
      </c>
      <c r="X11" s="1567">
        <f t="shared" si="12"/>
        <v>0</v>
      </c>
      <c r="Y11" s="1567">
        <f t="shared" si="13"/>
        <v>0</v>
      </c>
      <c r="Z11" s="1567">
        <f t="shared" si="14"/>
        <v>0</v>
      </c>
      <c r="AA11" s="1567">
        <f t="shared" si="15"/>
        <v>0</v>
      </c>
      <c r="AB11" s="1568">
        <f t="shared" si="16"/>
        <v>0</v>
      </c>
      <c r="AC11" s="1567">
        <f t="shared" si="17"/>
        <v>0</v>
      </c>
      <c r="AD11" s="1567">
        <f t="shared" si="18"/>
        <v>0</v>
      </c>
      <c r="AE11" s="1546"/>
      <c r="AF11" s="1492"/>
      <c r="AG11" s="1492"/>
      <c r="AH11" s="1492"/>
      <c r="AI11" s="1496"/>
      <c r="AJ11" s="1496"/>
      <c r="AK11" s="1496"/>
      <c r="AL11" s="1496"/>
      <c r="AM11" s="1496"/>
      <c r="AN11" s="1496"/>
      <c r="AO11" s="1496"/>
      <c r="AP11" s="1549"/>
      <c r="AQ11" s="1496"/>
      <c r="AR11" s="1496"/>
      <c r="AS11" s="1496"/>
      <c r="AT11" s="1496"/>
      <c r="AU11" s="1543"/>
      <c r="AV11" s="1474">
        <v>1.1000000000000001</v>
      </c>
      <c r="AW11" s="1503" t="s">
        <v>465</v>
      </c>
      <c r="AX11" s="1470" t="s">
        <v>474</v>
      </c>
      <c r="AY11" s="1504">
        <v>0.5</v>
      </c>
    </row>
    <row r="12" spans="2:51">
      <c r="B12" s="1469" t="str">
        <f t="shared" si="19"/>
        <v>1.1.1</v>
      </c>
      <c r="C12" s="1470" t="str">
        <f t="shared" si="2"/>
        <v>断熱等性能の確保</v>
      </c>
      <c r="D12" s="1471">
        <f>IF(I$11=0,0,G12/I$11)</f>
        <v>0.8</v>
      </c>
      <c r="E12" s="1471">
        <f>IF(J$11=0,0,H12/J$11)</f>
        <v>0</v>
      </c>
      <c r="F12" s="1534"/>
      <c r="G12" s="1471">
        <f t="shared" si="3"/>
        <v>0.8</v>
      </c>
      <c r="H12" s="1483">
        <f t="shared" si="20"/>
        <v>0</v>
      </c>
      <c r="I12" s="1471"/>
      <c r="J12" s="1478"/>
      <c r="K12" s="1483">
        <f>IF(スコア!O12=0,0,1)</f>
        <v>1</v>
      </c>
      <c r="L12" s="1483">
        <f>IF(スコア!Q12=0,0,1)</f>
        <v>0</v>
      </c>
      <c r="M12" s="1483">
        <f t="shared" si="4"/>
        <v>0.8</v>
      </c>
      <c r="N12" s="1483">
        <f t="shared" si="5"/>
        <v>0</v>
      </c>
      <c r="O12" s="1538"/>
      <c r="P12" s="1474" t="str">
        <f t="shared" si="0"/>
        <v>1.1.1</v>
      </c>
      <c r="Q12" s="1474" t="str">
        <f t="shared" si="6"/>
        <v>1.1.1.1</v>
      </c>
      <c r="R12" s="1474" t="str">
        <f t="shared" si="1"/>
        <v>断熱等性能の確保</v>
      </c>
      <c r="S12" s="1567">
        <f t="shared" si="7"/>
        <v>0.8</v>
      </c>
      <c r="T12" s="1567">
        <f t="shared" si="8"/>
        <v>0</v>
      </c>
      <c r="U12" s="1567">
        <f t="shared" si="9"/>
        <v>0</v>
      </c>
      <c r="V12" s="1567">
        <f t="shared" si="10"/>
        <v>0</v>
      </c>
      <c r="W12" s="1567">
        <f t="shared" si="11"/>
        <v>0</v>
      </c>
      <c r="X12" s="1567">
        <f t="shared" si="12"/>
        <v>0</v>
      </c>
      <c r="Y12" s="1567">
        <f t="shared" si="13"/>
        <v>0</v>
      </c>
      <c r="Z12" s="1567">
        <f t="shared" si="14"/>
        <v>0</v>
      </c>
      <c r="AA12" s="1567">
        <f t="shared" si="15"/>
        <v>0</v>
      </c>
      <c r="AB12" s="1568">
        <f t="shared" si="16"/>
        <v>0</v>
      </c>
      <c r="AC12" s="1567">
        <f t="shared" si="17"/>
        <v>0</v>
      </c>
      <c r="AD12" s="1567">
        <f t="shared" si="18"/>
        <v>0</v>
      </c>
      <c r="AE12" s="1546"/>
      <c r="AF12" s="1492"/>
      <c r="AG12" s="1492"/>
      <c r="AH12" s="1492"/>
      <c r="AI12" s="1496"/>
      <c r="AJ12" s="1496"/>
      <c r="AK12" s="1496"/>
      <c r="AL12" s="1496"/>
      <c r="AM12" s="1496"/>
      <c r="AN12" s="1496"/>
      <c r="AO12" s="1496"/>
      <c r="AP12" s="1549"/>
      <c r="AQ12" s="1496"/>
      <c r="AR12" s="1496"/>
      <c r="AS12" s="1496"/>
      <c r="AT12" s="1496"/>
      <c r="AU12" s="1543"/>
      <c r="AV12" s="1474" t="s">
        <v>465</v>
      </c>
      <c r="AW12" s="1503" t="s">
        <v>521</v>
      </c>
      <c r="AX12" s="1470" t="s">
        <v>978</v>
      </c>
      <c r="AY12" s="1504">
        <v>0.8</v>
      </c>
    </row>
    <row r="13" spans="2:51">
      <c r="B13" s="1469" t="str">
        <f t="shared" si="19"/>
        <v>1.1.2</v>
      </c>
      <c r="C13" s="1470" t="str">
        <f t="shared" si="2"/>
        <v>日射の調整機能</v>
      </c>
      <c r="D13" s="1471">
        <f>IF(I$11=0,0,G13/I$11)</f>
        <v>0.2</v>
      </c>
      <c r="E13" s="1471">
        <f>IF(J$11=0,0,H13/J$11)</f>
        <v>0</v>
      </c>
      <c r="F13" s="1534"/>
      <c r="G13" s="1471">
        <f t="shared" si="3"/>
        <v>0.2</v>
      </c>
      <c r="H13" s="1483">
        <f t="shared" si="20"/>
        <v>0</v>
      </c>
      <c r="I13" s="1471"/>
      <c r="J13" s="1478"/>
      <c r="K13" s="1483">
        <f>IF(スコア!O13=0,0,1)</f>
        <v>1</v>
      </c>
      <c r="L13" s="1483">
        <f>IF(スコア!Q13=0,0,1)</f>
        <v>0</v>
      </c>
      <c r="M13" s="1483">
        <f t="shared" si="4"/>
        <v>0.2</v>
      </c>
      <c r="N13" s="1483">
        <f t="shared" si="5"/>
        <v>0</v>
      </c>
      <c r="O13" s="1538"/>
      <c r="P13" s="1474" t="str">
        <f t="shared" si="0"/>
        <v>1.1.2</v>
      </c>
      <c r="Q13" s="1474" t="str">
        <f t="shared" si="6"/>
        <v>1.1.1.1</v>
      </c>
      <c r="R13" s="1474" t="str">
        <f t="shared" si="1"/>
        <v>日射の調整機能</v>
      </c>
      <c r="S13" s="1567">
        <f t="shared" si="7"/>
        <v>0.2</v>
      </c>
      <c r="T13" s="1567">
        <f t="shared" si="8"/>
        <v>0</v>
      </c>
      <c r="U13" s="1567">
        <f t="shared" si="9"/>
        <v>0</v>
      </c>
      <c r="V13" s="1567">
        <f t="shared" si="10"/>
        <v>0</v>
      </c>
      <c r="W13" s="1567">
        <f t="shared" si="11"/>
        <v>0</v>
      </c>
      <c r="X13" s="1567">
        <f t="shared" si="12"/>
        <v>0</v>
      </c>
      <c r="Y13" s="1567">
        <f t="shared" si="13"/>
        <v>0</v>
      </c>
      <c r="Z13" s="1567">
        <f t="shared" si="14"/>
        <v>0</v>
      </c>
      <c r="AA13" s="1567">
        <f t="shared" si="15"/>
        <v>0</v>
      </c>
      <c r="AB13" s="1568">
        <f t="shared" si="16"/>
        <v>0</v>
      </c>
      <c r="AC13" s="1567">
        <f t="shared" si="17"/>
        <v>0</v>
      </c>
      <c r="AD13" s="1567">
        <f t="shared" si="18"/>
        <v>0</v>
      </c>
      <c r="AE13" s="1546"/>
      <c r="AF13" s="1492"/>
      <c r="AG13" s="1492"/>
      <c r="AH13" s="1492"/>
      <c r="AI13" s="1496"/>
      <c r="AJ13" s="1496"/>
      <c r="AK13" s="1496"/>
      <c r="AL13" s="1496"/>
      <c r="AM13" s="1496"/>
      <c r="AN13" s="1496"/>
      <c r="AO13" s="1496"/>
      <c r="AP13" s="1549"/>
      <c r="AQ13" s="1496"/>
      <c r="AR13" s="1496"/>
      <c r="AS13" s="1496"/>
      <c r="AT13" s="1496"/>
      <c r="AU13" s="1543"/>
      <c r="AV13" s="1474" t="s">
        <v>466</v>
      </c>
      <c r="AW13" s="1503" t="s">
        <v>521</v>
      </c>
      <c r="AX13" s="1470" t="s">
        <v>475</v>
      </c>
      <c r="AY13" s="1504">
        <v>0.2</v>
      </c>
    </row>
    <row r="14" spans="2:51">
      <c r="B14" s="1472">
        <f t="shared" si="19"/>
        <v>1.2</v>
      </c>
      <c r="C14" s="1473" t="str">
        <f t="shared" si="2"/>
        <v>夏の暑さを防ぐ</v>
      </c>
      <c r="D14" s="1471">
        <f>IF(I$10=0,0,G14/I$10)</f>
        <v>0.25</v>
      </c>
      <c r="E14" s="1471">
        <f>IF(J$10=0,0,H14/J$10)</f>
        <v>0</v>
      </c>
      <c r="F14" s="1534"/>
      <c r="G14" s="1471">
        <f t="shared" si="3"/>
        <v>0.25</v>
      </c>
      <c r="H14" s="1483">
        <f t="shared" si="20"/>
        <v>0</v>
      </c>
      <c r="I14" s="1471">
        <f>SUM(G15:G16)</f>
        <v>1</v>
      </c>
      <c r="J14" s="1478">
        <f>SUM(H15:H16)</f>
        <v>0</v>
      </c>
      <c r="K14" s="1483">
        <f>IF(スコア!O14=0,0,1)</f>
        <v>1</v>
      </c>
      <c r="L14" s="1483">
        <f>IF(スコア!Q14=0,0,1)</f>
        <v>0</v>
      </c>
      <c r="M14" s="1483">
        <f t="shared" si="4"/>
        <v>0.25</v>
      </c>
      <c r="N14" s="1483">
        <f t="shared" si="5"/>
        <v>0</v>
      </c>
      <c r="O14" s="1538"/>
      <c r="P14" s="1474">
        <f t="shared" si="0"/>
        <v>1.2</v>
      </c>
      <c r="Q14" s="1474" t="str">
        <f t="shared" si="6"/>
        <v>1.1.1</v>
      </c>
      <c r="R14" s="1474" t="str">
        <f t="shared" si="1"/>
        <v>夏の暑さを防ぐ</v>
      </c>
      <c r="S14" s="1567">
        <f t="shared" si="7"/>
        <v>0.25</v>
      </c>
      <c r="T14" s="1567">
        <f t="shared" si="8"/>
        <v>0</v>
      </c>
      <c r="U14" s="1567">
        <f t="shared" si="9"/>
        <v>0</v>
      </c>
      <c r="V14" s="1567">
        <f t="shared" si="10"/>
        <v>0</v>
      </c>
      <c r="W14" s="1567">
        <f t="shared" si="11"/>
        <v>0</v>
      </c>
      <c r="X14" s="1567">
        <f t="shared" si="12"/>
        <v>0</v>
      </c>
      <c r="Y14" s="1567">
        <f t="shared" si="13"/>
        <v>0</v>
      </c>
      <c r="Z14" s="1567">
        <f t="shared" si="14"/>
        <v>0</v>
      </c>
      <c r="AA14" s="1567">
        <f t="shared" si="15"/>
        <v>0</v>
      </c>
      <c r="AB14" s="1568">
        <f t="shared" si="16"/>
        <v>0</v>
      </c>
      <c r="AC14" s="1567">
        <f t="shared" si="17"/>
        <v>0</v>
      </c>
      <c r="AD14" s="1567">
        <f t="shared" si="18"/>
        <v>0</v>
      </c>
      <c r="AE14" s="1546"/>
      <c r="AF14" s="1492"/>
      <c r="AG14" s="1492"/>
      <c r="AH14" s="1492"/>
      <c r="AI14" s="1496"/>
      <c r="AJ14" s="1496"/>
      <c r="AK14" s="1496"/>
      <c r="AL14" s="1496"/>
      <c r="AM14" s="1496"/>
      <c r="AN14" s="1496"/>
      <c r="AO14" s="1496"/>
      <c r="AP14" s="1549"/>
      <c r="AQ14" s="1496"/>
      <c r="AR14" s="1496"/>
      <c r="AS14" s="1496"/>
      <c r="AT14" s="1496"/>
      <c r="AU14" s="1543"/>
      <c r="AV14" s="1474">
        <v>1.2</v>
      </c>
      <c r="AW14" s="1503" t="s">
        <v>465</v>
      </c>
      <c r="AX14" s="1505" t="s">
        <v>476</v>
      </c>
      <c r="AY14" s="1504">
        <v>0.25</v>
      </c>
    </row>
    <row r="15" spans="2:51">
      <c r="B15" s="1472" t="str">
        <f t="shared" si="19"/>
        <v>1.2.1</v>
      </c>
      <c r="C15" s="1473" t="str">
        <f t="shared" si="2"/>
        <v>風を取り込み，熱気を逃がす</v>
      </c>
      <c r="D15" s="1471">
        <f>IF(I$14=0,0,G15/I$14)</f>
        <v>0.5</v>
      </c>
      <c r="E15" s="1471">
        <f>IF(J$14=0,0,H15/J$14)</f>
        <v>0</v>
      </c>
      <c r="F15" s="1534"/>
      <c r="G15" s="1471">
        <f t="shared" si="3"/>
        <v>0.5</v>
      </c>
      <c r="H15" s="1483">
        <f t="shared" si="20"/>
        <v>0</v>
      </c>
      <c r="I15" s="1471"/>
      <c r="J15" s="1478"/>
      <c r="K15" s="1483">
        <f>IF(スコア!O15=0,0,1)</f>
        <v>1</v>
      </c>
      <c r="L15" s="1483">
        <f>IF(スコア!Q15=0,0,1)</f>
        <v>0</v>
      </c>
      <c r="M15" s="1483">
        <f t="shared" si="4"/>
        <v>0.5</v>
      </c>
      <c r="N15" s="1483">
        <f t="shared" si="5"/>
        <v>0</v>
      </c>
      <c r="O15" s="1538"/>
      <c r="P15" s="1474" t="str">
        <f t="shared" si="0"/>
        <v>1.2.1</v>
      </c>
      <c r="Q15" s="1474" t="str">
        <f t="shared" si="6"/>
        <v>1.1.1.2</v>
      </c>
      <c r="R15" s="1474" t="str">
        <f t="shared" si="1"/>
        <v>風を取り込み，熱気を逃がす</v>
      </c>
      <c r="S15" s="1567">
        <f t="shared" si="7"/>
        <v>0.5</v>
      </c>
      <c r="T15" s="1567">
        <f t="shared" si="8"/>
        <v>0</v>
      </c>
      <c r="U15" s="1567">
        <f t="shared" si="9"/>
        <v>0</v>
      </c>
      <c r="V15" s="1567">
        <f t="shared" si="10"/>
        <v>0</v>
      </c>
      <c r="W15" s="1567">
        <f t="shared" si="11"/>
        <v>0</v>
      </c>
      <c r="X15" s="1567">
        <f t="shared" si="12"/>
        <v>0</v>
      </c>
      <c r="Y15" s="1567">
        <f t="shared" si="13"/>
        <v>0</v>
      </c>
      <c r="Z15" s="1569">
        <f t="shared" si="14"/>
        <v>0</v>
      </c>
      <c r="AA15" s="1567">
        <f t="shared" si="15"/>
        <v>0</v>
      </c>
      <c r="AB15" s="1568">
        <f t="shared" si="16"/>
        <v>0</v>
      </c>
      <c r="AC15" s="1567">
        <f t="shared" si="17"/>
        <v>0</v>
      </c>
      <c r="AD15" s="1567">
        <f t="shared" si="18"/>
        <v>0</v>
      </c>
      <c r="AE15" s="1546"/>
      <c r="AF15" s="1492"/>
      <c r="AG15" s="1492"/>
      <c r="AH15" s="1492"/>
      <c r="AI15" s="1496"/>
      <c r="AJ15" s="1496"/>
      <c r="AK15" s="1496"/>
      <c r="AL15" s="1496"/>
      <c r="AM15" s="1496"/>
      <c r="AN15" s="1496"/>
      <c r="AO15" s="1496"/>
      <c r="AP15" s="1549"/>
      <c r="AQ15" s="1496"/>
      <c r="AR15" s="1496"/>
      <c r="AS15" s="1496"/>
      <c r="AT15" s="1496"/>
      <c r="AU15" s="1543"/>
      <c r="AV15" s="1474" t="s">
        <v>522</v>
      </c>
      <c r="AW15" s="1503" t="s">
        <v>523</v>
      </c>
      <c r="AX15" s="1505" t="s">
        <v>1099</v>
      </c>
      <c r="AY15" s="1504">
        <v>0.5</v>
      </c>
    </row>
    <row r="16" spans="2:51">
      <c r="B16" s="1472" t="str">
        <f t="shared" si="19"/>
        <v>1.2.2</v>
      </c>
      <c r="C16" s="1473" t="str">
        <f t="shared" si="2"/>
        <v>適切な冷房計画</v>
      </c>
      <c r="D16" s="1471">
        <f>IF(I$14=0,0,G16/I$14)</f>
        <v>0.5</v>
      </c>
      <c r="E16" s="1471">
        <f>IF(J$14=0,0,H16/J$14)</f>
        <v>0</v>
      </c>
      <c r="F16" s="1534"/>
      <c r="G16" s="1471">
        <f t="shared" si="3"/>
        <v>0.5</v>
      </c>
      <c r="H16" s="1483">
        <f t="shared" si="20"/>
        <v>0</v>
      </c>
      <c r="I16" s="1471"/>
      <c r="J16" s="1483"/>
      <c r="K16" s="1483">
        <f>IF(スコア!O16=0,0,1)</f>
        <v>1</v>
      </c>
      <c r="L16" s="1483">
        <f>IF(スコア!Q16=0,0,1)</f>
        <v>0</v>
      </c>
      <c r="M16" s="1483">
        <f t="shared" si="4"/>
        <v>0.5</v>
      </c>
      <c r="N16" s="1483">
        <f t="shared" si="5"/>
        <v>0</v>
      </c>
      <c r="O16" s="1538"/>
      <c r="P16" s="1474" t="str">
        <f t="shared" si="0"/>
        <v>1.2.2</v>
      </c>
      <c r="Q16" s="1474" t="str">
        <f t="shared" si="6"/>
        <v>1.1.1.2</v>
      </c>
      <c r="R16" s="1474" t="str">
        <f t="shared" si="1"/>
        <v>適切な冷房計画</v>
      </c>
      <c r="S16" s="1567">
        <f t="shared" si="7"/>
        <v>0.5</v>
      </c>
      <c r="T16" s="1567">
        <f t="shared" si="8"/>
        <v>0</v>
      </c>
      <c r="U16" s="1567">
        <f t="shared" si="9"/>
        <v>0</v>
      </c>
      <c r="V16" s="1567">
        <f t="shared" si="10"/>
        <v>0</v>
      </c>
      <c r="W16" s="1567">
        <f t="shared" si="11"/>
        <v>0</v>
      </c>
      <c r="X16" s="1567">
        <f t="shared" si="12"/>
        <v>0</v>
      </c>
      <c r="Y16" s="1567">
        <f t="shared" si="13"/>
        <v>0</v>
      </c>
      <c r="Z16" s="1569">
        <f t="shared" si="14"/>
        <v>0</v>
      </c>
      <c r="AA16" s="1567">
        <f t="shared" si="15"/>
        <v>0</v>
      </c>
      <c r="AB16" s="1568">
        <f t="shared" si="16"/>
        <v>0</v>
      </c>
      <c r="AC16" s="1567">
        <f t="shared" si="17"/>
        <v>0</v>
      </c>
      <c r="AD16" s="1567">
        <f t="shared" si="18"/>
        <v>0</v>
      </c>
      <c r="AE16" s="1546"/>
      <c r="AF16" s="1492"/>
      <c r="AG16" s="1492"/>
      <c r="AH16" s="1492"/>
      <c r="AI16" s="1496"/>
      <c r="AJ16" s="1496"/>
      <c r="AK16" s="1496"/>
      <c r="AL16" s="1496"/>
      <c r="AM16" s="1496"/>
      <c r="AN16" s="1496"/>
      <c r="AO16" s="1496"/>
      <c r="AP16" s="1549"/>
      <c r="AQ16" s="1496"/>
      <c r="AR16" s="1496"/>
      <c r="AS16" s="1496"/>
      <c r="AT16" s="1496"/>
      <c r="AU16" s="1543"/>
      <c r="AV16" s="1474" t="s">
        <v>524</v>
      </c>
      <c r="AW16" s="1503" t="s">
        <v>523</v>
      </c>
      <c r="AX16" s="1505" t="s">
        <v>477</v>
      </c>
      <c r="AY16" s="1504">
        <v>0.5</v>
      </c>
    </row>
    <row r="17" spans="2:51">
      <c r="B17" s="1472">
        <f t="shared" si="19"/>
        <v>1.3</v>
      </c>
      <c r="C17" s="1473" t="str">
        <f t="shared" si="2"/>
        <v>冬の寒さを防ぐ</v>
      </c>
      <c r="D17" s="1471">
        <f>IF(I$10=0,0,G17/I$10)</f>
        <v>0.25</v>
      </c>
      <c r="E17" s="1471">
        <f>IF(J$10=0,0,H17/J$10)</f>
        <v>0</v>
      </c>
      <c r="F17" s="1534"/>
      <c r="G17" s="1471">
        <f t="shared" si="3"/>
        <v>0.25</v>
      </c>
      <c r="H17" s="1483">
        <f t="shared" si="20"/>
        <v>0</v>
      </c>
      <c r="I17" s="1471">
        <f>G18</f>
        <v>1</v>
      </c>
      <c r="J17" s="1478">
        <f>H18</f>
        <v>0</v>
      </c>
      <c r="K17" s="1483">
        <f>IF(スコア!O17=0,0,1)</f>
        <v>1</v>
      </c>
      <c r="L17" s="1483">
        <f>IF(スコア!Q17=0,0,1)</f>
        <v>0</v>
      </c>
      <c r="M17" s="1483">
        <f t="shared" si="4"/>
        <v>0.25</v>
      </c>
      <c r="N17" s="1483">
        <f t="shared" si="5"/>
        <v>0</v>
      </c>
      <c r="O17" s="1538"/>
      <c r="P17" s="1474">
        <f t="shared" si="0"/>
        <v>1.3</v>
      </c>
      <c r="Q17" s="1474" t="str">
        <f t="shared" si="6"/>
        <v>1.1.1</v>
      </c>
      <c r="R17" s="1474" t="str">
        <f t="shared" si="1"/>
        <v>冬の寒さを防ぐ</v>
      </c>
      <c r="S17" s="1567">
        <f t="shared" si="7"/>
        <v>0.25</v>
      </c>
      <c r="T17" s="1567">
        <f t="shared" si="8"/>
        <v>0</v>
      </c>
      <c r="U17" s="1567">
        <f t="shared" si="9"/>
        <v>0</v>
      </c>
      <c r="V17" s="1567">
        <f t="shared" si="10"/>
        <v>0</v>
      </c>
      <c r="W17" s="1567">
        <f t="shared" si="11"/>
        <v>0</v>
      </c>
      <c r="X17" s="1567">
        <f t="shared" si="12"/>
        <v>0</v>
      </c>
      <c r="Y17" s="1567">
        <f t="shared" si="13"/>
        <v>0</v>
      </c>
      <c r="Z17" s="1569">
        <f t="shared" si="14"/>
        <v>0</v>
      </c>
      <c r="AA17" s="1567">
        <f t="shared" si="15"/>
        <v>0</v>
      </c>
      <c r="AB17" s="1568">
        <f t="shared" si="16"/>
        <v>0</v>
      </c>
      <c r="AC17" s="1567">
        <f t="shared" si="17"/>
        <v>0</v>
      </c>
      <c r="AD17" s="1567">
        <f t="shared" si="18"/>
        <v>0</v>
      </c>
      <c r="AE17" s="1546"/>
      <c r="AF17" s="1492"/>
      <c r="AG17" s="1492"/>
      <c r="AH17" s="1492"/>
      <c r="AI17" s="1496"/>
      <c r="AJ17" s="1496"/>
      <c r="AK17" s="1496"/>
      <c r="AL17" s="1496"/>
      <c r="AM17" s="1496"/>
      <c r="AN17" s="1496"/>
      <c r="AO17" s="1496"/>
      <c r="AP17" s="1549"/>
      <c r="AQ17" s="1496"/>
      <c r="AR17" s="1496"/>
      <c r="AS17" s="1496"/>
      <c r="AT17" s="1496"/>
      <c r="AU17" s="1543"/>
      <c r="AV17" s="1474">
        <v>1.3</v>
      </c>
      <c r="AW17" s="1503" t="s">
        <v>465</v>
      </c>
      <c r="AX17" s="1505" t="s">
        <v>478</v>
      </c>
      <c r="AY17" s="1504">
        <v>0.25</v>
      </c>
    </row>
    <row r="18" spans="2:51">
      <c r="B18" s="1472" t="str">
        <f t="shared" si="19"/>
        <v>1.3.1</v>
      </c>
      <c r="C18" s="1473" t="str">
        <f t="shared" si="2"/>
        <v>適切な暖房計画</v>
      </c>
      <c r="D18" s="1471">
        <f>IF(I$17=0,0,G18/I$17)</f>
        <v>1</v>
      </c>
      <c r="E18" s="1471">
        <f>IF(J$17=0,0,H18/J$17)</f>
        <v>0</v>
      </c>
      <c r="F18" s="1534"/>
      <c r="G18" s="1471">
        <f t="shared" si="3"/>
        <v>1</v>
      </c>
      <c r="H18" s="1483">
        <f t="shared" si="20"/>
        <v>0</v>
      </c>
      <c r="I18" s="1471"/>
      <c r="J18" s="1483"/>
      <c r="K18" s="1483">
        <f>IF(スコア!O18=0,0,1)</f>
        <v>1</v>
      </c>
      <c r="L18" s="1483">
        <f>IF(スコア!Q18=0,0,1)</f>
        <v>0</v>
      </c>
      <c r="M18" s="1483">
        <f t="shared" si="4"/>
        <v>1</v>
      </c>
      <c r="N18" s="1483">
        <f t="shared" si="5"/>
        <v>0</v>
      </c>
      <c r="O18" s="1538"/>
      <c r="P18" s="1474" t="str">
        <f t="shared" si="0"/>
        <v>1.3.1</v>
      </c>
      <c r="Q18" s="1474" t="str">
        <f>IF($P$3=1,AG18,AW18)</f>
        <v>1.1.1.3</v>
      </c>
      <c r="R18" s="1474" t="str">
        <f>IF($P$3=1,AH18,AX18)</f>
        <v>適切な暖房計画</v>
      </c>
      <c r="S18" s="1567">
        <f>IF($P$3=1,AI18,AY18)</f>
        <v>1</v>
      </c>
      <c r="T18" s="1567"/>
      <c r="U18" s="1567"/>
      <c r="V18" s="1567"/>
      <c r="W18" s="1567"/>
      <c r="X18" s="1567"/>
      <c r="Y18" s="1567"/>
      <c r="Z18" s="1569"/>
      <c r="AA18" s="1567"/>
      <c r="AB18" s="1568"/>
      <c r="AC18" s="1567"/>
      <c r="AD18" s="1567"/>
      <c r="AE18" s="1546"/>
      <c r="AF18" s="1492"/>
      <c r="AG18" s="1492"/>
      <c r="AH18" s="1492"/>
      <c r="AI18" s="1496"/>
      <c r="AJ18" s="1496"/>
      <c r="AK18" s="1496"/>
      <c r="AL18" s="1496"/>
      <c r="AM18" s="1496"/>
      <c r="AN18" s="1496"/>
      <c r="AO18" s="1496"/>
      <c r="AP18" s="1549"/>
      <c r="AQ18" s="1496"/>
      <c r="AR18" s="1496"/>
      <c r="AS18" s="1496"/>
      <c r="AT18" s="1496"/>
      <c r="AU18" s="1543"/>
      <c r="AV18" s="1474" t="s">
        <v>525</v>
      </c>
      <c r="AW18" s="1503" t="s">
        <v>42</v>
      </c>
      <c r="AX18" s="1505" t="s">
        <v>479</v>
      </c>
      <c r="AY18" s="1504">
        <v>1</v>
      </c>
    </row>
    <row r="19" spans="2:51" hidden="1">
      <c r="B19" s="1472">
        <f>P19</f>
        <v>0</v>
      </c>
      <c r="C19" s="1473">
        <f>R19</f>
        <v>0</v>
      </c>
      <c r="D19" s="1471"/>
      <c r="E19" s="1471"/>
      <c r="F19" s="1534"/>
      <c r="G19" s="1471">
        <f t="shared" si="3"/>
        <v>0</v>
      </c>
      <c r="H19" s="1483">
        <f t="shared" si="20"/>
        <v>0</v>
      </c>
      <c r="I19" s="1471"/>
      <c r="J19" s="1483"/>
      <c r="K19" s="1483">
        <f>IF(スコア!O19=0,0,1)</f>
        <v>0</v>
      </c>
      <c r="L19" s="1483">
        <f>IF(スコア!Q19=0,0,1)</f>
        <v>0</v>
      </c>
      <c r="M19" s="1483">
        <f t="shared" si="4"/>
        <v>0</v>
      </c>
      <c r="N19" s="1483">
        <f t="shared" si="5"/>
        <v>0</v>
      </c>
      <c r="O19" s="1538"/>
      <c r="P19" s="1474"/>
      <c r="Q19" s="1474"/>
      <c r="R19" s="1474"/>
      <c r="S19" s="1567">
        <f t="shared" ref="S19:S39" si="21">IF($P$3=1,AI19,AY19)</f>
        <v>0</v>
      </c>
      <c r="T19" s="1567"/>
      <c r="U19" s="1567"/>
      <c r="V19" s="1567"/>
      <c r="W19" s="1567"/>
      <c r="X19" s="1567"/>
      <c r="Y19" s="1567"/>
      <c r="Z19" s="1569"/>
      <c r="AA19" s="1567"/>
      <c r="AB19" s="1568"/>
      <c r="AC19" s="1567"/>
      <c r="AD19" s="1567"/>
      <c r="AE19" s="1546"/>
      <c r="AF19" s="1492"/>
      <c r="AG19" s="1492"/>
      <c r="AH19" s="1492"/>
      <c r="AI19" s="1496"/>
      <c r="AJ19" s="1496"/>
      <c r="AK19" s="1496"/>
      <c r="AL19" s="1496"/>
      <c r="AM19" s="1496"/>
      <c r="AN19" s="1496"/>
      <c r="AO19" s="1496"/>
      <c r="AP19" s="1549"/>
      <c r="AQ19" s="1496"/>
      <c r="AR19" s="1496"/>
      <c r="AS19" s="1496"/>
      <c r="AT19" s="1496"/>
      <c r="AU19" s="1543"/>
      <c r="AV19" s="1474" t="s">
        <v>421</v>
      </c>
      <c r="AW19" s="1503"/>
      <c r="AX19" s="1505" t="s">
        <v>92</v>
      </c>
      <c r="AY19" s="1504">
        <v>0</v>
      </c>
    </row>
    <row r="20" spans="2:51">
      <c r="B20" s="1466">
        <f t="shared" ref="B20:B50" si="22">P20</f>
        <v>2</v>
      </c>
      <c r="C20" s="1467" t="str">
        <f t="shared" ref="C20:C35" si="23">R20</f>
        <v>健康と安全・安心</v>
      </c>
      <c r="D20" s="1468">
        <f>IF(I$9=0,0,G20/I$9)</f>
        <v>0.3</v>
      </c>
      <c r="E20" s="1468">
        <f>IF(J$9=0,0,H20/J$9)</f>
        <v>0</v>
      </c>
      <c r="F20" s="1534"/>
      <c r="G20" s="1476">
        <f>K20*((S$7*S20)+(T$7*T20)+(U$7*U20)+(V$7*V20)+(W$7*W20)+(X$7*X20)+(Y$7*Y20)+(Z$7*Z20)+(AA$7*AA20))</f>
        <v>0.3</v>
      </c>
      <c r="H20" s="1476">
        <f t="shared" si="20"/>
        <v>0</v>
      </c>
      <c r="I20" s="1476">
        <f>G21+G22+G23+G24</f>
        <v>1</v>
      </c>
      <c r="J20" s="1476">
        <f>H21+H22+H23</f>
        <v>0</v>
      </c>
      <c r="K20" s="1476">
        <f>IF(スコア!O20=0,0,1)</f>
        <v>1</v>
      </c>
      <c r="L20" s="1476">
        <f>IF(スコア!P20=0,0,1)</f>
        <v>1</v>
      </c>
      <c r="M20" s="1476">
        <f t="shared" si="4"/>
        <v>0.3</v>
      </c>
      <c r="N20" s="1476">
        <f t="shared" si="5"/>
        <v>0</v>
      </c>
      <c r="O20" s="1538"/>
      <c r="P20" s="1466">
        <f t="shared" ref="P20:P32" si="24">IF($P$3=1,AF20,AV20)</f>
        <v>2</v>
      </c>
      <c r="Q20" s="1474" t="str">
        <f t="shared" ref="Q20:Q32" si="25">IF($P$3=1,AG20,AW20)</f>
        <v>1.1</v>
      </c>
      <c r="R20" s="1466" t="str">
        <f t="shared" ref="R20:R32" si="26">IF($P$3=1,AH20,AX20)</f>
        <v>健康と安全・安心</v>
      </c>
      <c r="S20" s="1564">
        <f t="shared" si="21"/>
        <v>0.3</v>
      </c>
      <c r="T20" s="1564">
        <f t="shared" ref="T20:AD28" si="27">IF($P$3=1,AJ20,AZ20)</f>
        <v>0</v>
      </c>
      <c r="U20" s="1564">
        <f t="shared" si="27"/>
        <v>0</v>
      </c>
      <c r="V20" s="1564">
        <f t="shared" si="27"/>
        <v>0</v>
      </c>
      <c r="W20" s="1564">
        <f t="shared" si="27"/>
        <v>0</v>
      </c>
      <c r="X20" s="1564">
        <f t="shared" si="27"/>
        <v>0</v>
      </c>
      <c r="Y20" s="1564">
        <f t="shared" si="27"/>
        <v>0</v>
      </c>
      <c r="Z20" s="1570">
        <f t="shared" si="27"/>
        <v>0</v>
      </c>
      <c r="AA20" s="1564">
        <f t="shared" si="27"/>
        <v>0</v>
      </c>
      <c r="AB20" s="1566">
        <f t="shared" si="27"/>
        <v>0</v>
      </c>
      <c r="AC20" s="1564">
        <f t="shared" si="27"/>
        <v>0</v>
      </c>
      <c r="AD20" s="1564">
        <f t="shared" si="27"/>
        <v>0</v>
      </c>
      <c r="AE20" s="1546"/>
      <c r="AF20" s="1492"/>
      <c r="AG20" s="1492"/>
      <c r="AH20" s="1492"/>
      <c r="AI20" s="1496"/>
      <c r="AJ20" s="1496"/>
      <c r="AK20" s="1496"/>
      <c r="AL20" s="1496"/>
      <c r="AM20" s="1496"/>
      <c r="AN20" s="1496"/>
      <c r="AO20" s="1496"/>
      <c r="AP20" s="1549"/>
      <c r="AQ20" s="1496"/>
      <c r="AR20" s="1496"/>
      <c r="AS20" s="1496"/>
      <c r="AT20" s="1496"/>
      <c r="AU20" s="1543"/>
      <c r="AV20" s="1501">
        <v>2</v>
      </c>
      <c r="AW20" s="1501" t="s">
        <v>520</v>
      </c>
      <c r="AX20" s="1506" t="s">
        <v>480</v>
      </c>
      <c r="AY20" s="1504">
        <v>0.3</v>
      </c>
    </row>
    <row r="21" spans="2:51">
      <c r="B21" s="1474">
        <f t="shared" si="22"/>
        <v>2.1</v>
      </c>
      <c r="C21" s="1474" t="str">
        <f t="shared" si="23"/>
        <v>化学汚染物質の対策</v>
      </c>
      <c r="D21" s="1471">
        <f t="shared" ref="D21:E23" si="28">IF(I$20=0,0,G21/I$20)</f>
        <v>0.25</v>
      </c>
      <c r="E21" s="1471">
        <f t="shared" si="28"/>
        <v>0</v>
      </c>
      <c r="F21" s="1534"/>
      <c r="G21" s="1483">
        <f t="shared" si="3"/>
        <v>0.25</v>
      </c>
      <c r="H21" s="1483">
        <f t="shared" si="20"/>
        <v>0</v>
      </c>
      <c r="I21" s="1483"/>
      <c r="J21" s="1483"/>
      <c r="K21" s="1483">
        <f>IF(スコア!O21=0,0,1)</f>
        <v>1</v>
      </c>
      <c r="L21" s="1483">
        <f>IF(スコア!P21=0,0,1)</f>
        <v>1</v>
      </c>
      <c r="M21" s="1483">
        <f t="shared" si="4"/>
        <v>0.25</v>
      </c>
      <c r="N21" s="1483">
        <f t="shared" si="5"/>
        <v>0</v>
      </c>
      <c r="O21" s="1538"/>
      <c r="P21" s="1474">
        <f t="shared" si="24"/>
        <v>2.1</v>
      </c>
      <c r="Q21" s="1474" t="str">
        <f t="shared" si="25"/>
        <v>1.1.2</v>
      </c>
      <c r="R21" s="1474" t="str">
        <f t="shared" si="26"/>
        <v>化学汚染物質の対策</v>
      </c>
      <c r="S21" s="1567">
        <f t="shared" si="21"/>
        <v>0.25</v>
      </c>
      <c r="T21" s="1567">
        <f t="shared" si="27"/>
        <v>0</v>
      </c>
      <c r="U21" s="1567">
        <f t="shared" si="27"/>
        <v>0</v>
      </c>
      <c r="V21" s="1567">
        <f t="shared" si="27"/>
        <v>0</v>
      </c>
      <c r="W21" s="1567">
        <f t="shared" si="27"/>
        <v>0</v>
      </c>
      <c r="X21" s="1567">
        <f t="shared" si="27"/>
        <v>0</v>
      </c>
      <c r="Y21" s="1567">
        <f t="shared" si="27"/>
        <v>0</v>
      </c>
      <c r="Z21" s="1571">
        <f t="shared" si="27"/>
        <v>0</v>
      </c>
      <c r="AA21" s="1567">
        <f t="shared" si="27"/>
        <v>0</v>
      </c>
      <c r="AB21" s="1568">
        <f t="shared" si="27"/>
        <v>0</v>
      </c>
      <c r="AC21" s="1567">
        <f t="shared" si="27"/>
        <v>0</v>
      </c>
      <c r="AD21" s="1567">
        <f t="shared" si="27"/>
        <v>0</v>
      </c>
      <c r="AE21" s="1546"/>
      <c r="AF21" s="1492"/>
      <c r="AG21" s="1492"/>
      <c r="AH21" s="1492"/>
      <c r="AI21" s="1496"/>
      <c r="AJ21" s="1496"/>
      <c r="AK21" s="1496"/>
      <c r="AL21" s="1496"/>
      <c r="AM21" s="1496"/>
      <c r="AN21" s="1496"/>
      <c r="AO21" s="1496"/>
      <c r="AP21" s="1549"/>
      <c r="AQ21" s="1496"/>
      <c r="AR21" s="1496"/>
      <c r="AS21" s="1496"/>
      <c r="AT21" s="1496"/>
      <c r="AU21" s="1543"/>
      <c r="AV21" s="1503">
        <v>2.1</v>
      </c>
      <c r="AW21" s="1503" t="s">
        <v>466</v>
      </c>
      <c r="AX21" s="1475" t="s">
        <v>481</v>
      </c>
      <c r="AY21" s="1504">
        <v>0.25</v>
      </c>
    </row>
    <row r="22" spans="2:51">
      <c r="B22" s="1474">
        <f t="shared" si="22"/>
        <v>2.2000000000000002</v>
      </c>
      <c r="C22" s="1475" t="str">
        <f t="shared" si="23"/>
        <v>適切な換気計画</v>
      </c>
      <c r="D22" s="1471">
        <f t="shared" si="28"/>
        <v>0.25</v>
      </c>
      <c r="E22" s="1471">
        <f t="shared" si="28"/>
        <v>0</v>
      </c>
      <c r="F22" s="1534"/>
      <c r="G22" s="1483">
        <f t="shared" si="3"/>
        <v>0.25</v>
      </c>
      <c r="H22" s="1483">
        <f t="shared" si="20"/>
        <v>0</v>
      </c>
      <c r="I22" s="1483"/>
      <c r="J22" s="1483"/>
      <c r="K22" s="1483">
        <f>IF(スコア!O22=0,0,1)</f>
        <v>1</v>
      </c>
      <c r="L22" s="1483">
        <f>IF(スコア!P22=0,0,1)</f>
        <v>1</v>
      </c>
      <c r="M22" s="1483">
        <f t="shared" si="4"/>
        <v>0.25</v>
      </c>
      <c r="N22" s="1483">
        <f t="shared" si="5"/>
        <v>0</v>
      </c>
      <c r="O22" s="1538"/>
      <c r="P22" s="1474">
        <f t="shared" si="24"/>
        <v>2.2000000000000002</v>
      </c>
      <c r="Q22" s="1474" t="str">
        <f t="shared" si="25"/>
        <v>1.1.2</v>
      </c>
      <c r="R22" s="1474" t="str">
        <f t="shared" si="26"/>
        <v>適切な換気計画</v>
      </c>
      <c r="S22" s="1567">
        <f t="shared" si="21"/>
        <v>0.25</v>
      </c>
      <c r="T22" s="1567">
        <f t="shared" si="27"/>
        <v>0</v>
      </c>
      <c r="U22" s="1567">
        <f t="shared" si="27"/>
        <v>0</v>
      </c>
      <c r="V22" s="1567">
        <f t="shared" si="27"/>
        <v>0</v>
      </c>
      <c r="W22" s="1567">
        <f t="shared" si="27"/>
        <v>0</v>
      </c>
      <c r="X22" s="1567">
        <f t="shared" si="27"/>
        <v>0</v>
      </c>
      <c r="Y22" s="1567">
        <f t="shared" si="27"/>
        <v>0</v>
      </c>
      <c r="Z22" s="1571">
        <f t="shared" si="27"/>
        <v>0</v>
      </c>
      <c r="AA22" s="1567">
        <f t="shared" si="27"/>
        <v>0</v>
      </c>
      <c r="AB22" s="1568">
        <f t="shared" si="27"/>
        <v>0</v>
      </c>
      <c r="AC22" s="1567">
        <f t="shared" si="27"/>
        <v>0</v>
      </c>
      <c r="AD22" s="1567">
        <f t="shared" si="27"/>
        <v>0</v>
      </c>
      <c r="AE22" s="1546"/>
      <c r="AF22" s="1492"/>
      <c r="AG22" s="1492"/>
      <c r="AH22" s="1492"/>
      <c r="AI22" s="1496"/>
      <c r="AJ22" s="1496"/>
      <c r="AK22" s="1496"/>
      <c r="AL22" s="1496"/>
      <c r="AM22" s="1496"/>
      <c r="AN22" s="1496"/>
      <c r="AO22" s="1496"/>
      <c r="AP22" s="1549"/>
      <c r="AQ22" s="1496"/>
      <c r="AR22" s="1496"/>
      <c r="AS22" s="1496"/>
      <c r="AT22" s="1496"/>
      <c r="AU22" s="1543"/>
      <c r="AV22" s="1503">
        <v>2.2000000000000002</v>
      </c>
      <c r="AW22" s="1503" t="s">
        <v>466</v>
      </c>
      <c r="AX22" s="1475" t="s">
        <v>712</v>
      </c>
      <c r="AY22" s="1504">
        <v>0.25</v>
      </c>
    </row>
    <row r="23" spans="2:51">
      <c r="B23" s="1469">
        <f t="shared" si="22"/>
        <v>2.2999999999999998</v>
      </c>
      <c r="C23" s="1470" t="str">
        <f t="shared" si="23"/>
        <v>犯罪に備える</v>
      </c>
      <c r="D23" s="1471">
        <f t="shared" si="28"/>
        <v>0.25</v>
      </c>
      <c r="E23" s="1471">
        <f t="shared" si="28"/>
        <v>0</v>
      </c>
      <c r="F23" s="1534"/>
      <c r="G23" s="1483">
        <f t="shared" si="3"/>
        <v>0.25</v>
      </c>
      <c r="H23" s="1483">
        <f t="shared" si="20"/>
        <v>0</v>
      </c>
      <c r="I23" s="1483"/>
      <c r="J23" s="1483"/>
      <c r="K23" s="1483">
        <f>IF(スコア!O23=0,0,1)</f>
        <v>1</v>
      </c>
      <c r="L23" s="1483">
        <f>IF(スコア!P23=0,0,1)</f>
        <v>1</v>
      </c>
      <c r="M23" s="1483">
        <f t="shared" si="4"/>
        <v>0.25</v>
      </c>
      <c r="N23" s="1483">
        <f t="shared" si="5"/>
        <v>0</v>
      </c>
      <c r="O23" s="1538"/>
      <c r="P23" s="1474">
        <f t="shared" si="24"/>
        <v>2.2999999999999998</v>
      </c>
      <c r="Q23" s="1474" t="str">
        <f t="shared" si="25"/>
        <v>1.1.2</v>
      </c>
      <c r="R23" s="1474" t="str">
        <f t="shared" si="26"/>
        <v>犯罪に備える</v>
      </c>
      <c r="S23" s="1567">
        <f t="shared" si="21"/>
        <v>0.25</v>
      </c>
      <c r="T23" s="1567">
        <f t="shared" si="27"/>
        <v>0</v>
      </c>
      <c r="U23" s="1567">
        <f t="shared" si="27"/>
        <v>0</v>
      </c>
      <c r="V23" s="1567">
        <f t="shared" si="27"/>
        <v>0</v>
      </c>
      <c r="W23" s="1567">
        <f t="shared" si="27"/>
        <v>0</v>
      </c>
      <c r="X23" s="1567">
        <f t="shared" si="27"/>
        <v>0</v>
      </c>
      <c r="Y23" s="1567">
        <f t="shared" si="27"/>
        <v>0</v>
      </c>
      <c r="Z23" s="1571">
        <f t="shared" si="27"/>
        <v>0</v>
      </c>
      <c r="AA23" s="1567">
        <f t="shared" si="27"/>
        <v>0</v>
      </c>
      <c r="AB23" s="1568">
        <f t="shared" si="27"/>
        <v>0</v>
      </c>
      <c r="AC23" s="1567">
        <f t="shared" si="27"/>
        <v>0</v>
      </c>
      <c r="AD23" s="1567">
        <f t="shared" si="27"/>
        <v>0</v>
      </c>
      <c r="AE23" s="1546"/>
      <c r="AF23" s="1492"/>
      <c r="AG23" s="1492"/>
      <c r="AH23" s="1492"/>
      <c r="AI23" s="1496"/>
      <c r="AJ23" s="1496"/>
      <c r="AK23" s="1496"/>
      <c r="AL23" s="1496"/>
      <c r="AM23" s="1496"/>
      <c r="AN23" s="1496"/>
      <c r="AO23" s="1496"/>
      <c r="AP23" s="1549"/>
      <c r="AQ23" s="1496"/>
      <c r="AR23" s="1496"/>
      <c r="AS23" s="1496"/>
      <c r="AT23" s="1496"/>
      <c r="AU23" s="1543"/>
      <c r="AV23" s="1503">
        <v>2.2999999999999998</v>
      </c>
      <c r="AW23" s="1503" t="s">
        <v>466</v>
      </c>
      <c r="AX23" s="1475" t="s">
        <v>482</v>
      </c>
      <c r="AY23" s="1504">
        <v>0.25</v>
      </c>
    </row>
    <row r="24" spans="2:51">
      <c r="B24" s="1469" t="str">
        <f>P24</f>
        <v>2.4</v>
      </c>
      <c r="C24" s="1470" t="str">
        <f>R24</f>
        <v>災害に備える</v>
      </c>
      <c r="D24" s="1471">
        <f>IF(I$20=0,0,G24/I$20)</f>
        <v>0.25</v>
      </c>
      <c r="E24" s="1471">
        <f>IF(J$20=0,0,H24/J$20)</f>
        <v>0</v>
      </c>
      <c r="F24" s="1534"/>
      <c r="G24" s="1483">
        <f>K24*((S$7*S24)+(T$7*T24)+(U$7*U24)+(V$7*V24)+(W$7*W24)+(X$7*X24)+(Y$7*Y24)+(Z$7*Z24)+(AA$7*AA24))</f>
        <v>0.25</v>
      </c>
      <c r="H24" s="1483">
        <f>L24*((AB$7*AB24)+(AC$7*AC24)+(AD$7*AD24))</f>
        <v>0</v>
      </c>
      <c r="I24" s="1483"/>
      <c r="J24" s="1483"/>
      <c r="K24" s="1483">
        <f>IF(スコア!O24=0,0,1)</f>
        <v>1</v>
      </c>
      <c r="L24" s="1483">
        <f>IF(スコア!P24=0,0,1)</f>
        <v>1</v>
      </c>
      <c r="M24" s="1483">
        <f>(S$7*S24)+(T$7*T24)+(U$7*U24)+(V$7*V24)+(W$7*W24)+(X$7*X24)+(Y$7*Y24)+(Z$7*Z24)+(AA$7*AA24)</f>
        <v>0.25</v>
      </c>
      <c r="N24" s="1483">
        <f>(AB$7*AB24)+(AC$7*AC24)+(AD$7*AD24)</f>
        <v>0</v>
      </c>
      <c r="O24" s="1538"/>
      <c r="P24" s="1474" t="str">
        <f t="shared" si="24"/>
        <v>2.4</v>
      </c>
      <c r="Q24" s="1474" t="str">
        <f t="shared" si="25"/>
        <v>1.1.2</v>
      </c>
      <c r="R24" s="1474" t="str">
        <f t="shared" si="26"/>
        <v>災害に備える</v>
      </c>
      <c r="S24" s="1567">
        <f t="shared" si="21"/>
        <v>0.25</v>
      </c>
      <c r="T24" s="1567"/>
      <c r="U24" s="1567"/>
      <c r="V24" s="1567"/>
      <c r="W24" s="1567"/>
      <c r="X24" s="1567"/>
      <c r="Y24" s="1567"/>
      <c r="Z24" s="1571"/>
      <c r="AA24" s="1567"/>
      <c r="AB24" s="1568"/>
      <c r="AC24" s="1567"/>
      <c r="AD24" s="1567"/>
      <c r="AE24" s="1546"/>
      <c r="AF24" s="1492"/>
      <c r="AG24" s="1492"/>
      <c r="AH24" s="1492"/>
      <c r="AI24" s="1496"/>
      <c r="AJ24" s="1496"/>
      <c r="AK24" s="1496"/>
      <c r="AL24" s="1496"/>
      <c r="AM24" s="1496"/>
      <c r="AN24" s="1496"/>
      <c r="AO24" s="1496"/>
      <c r="AP24" s="1549"/>
      <c r="AQ24" s="1496"/>
      <c r="AR24" s="1496"/>
      <c r="AS24" s="1496"/>
      <c r="AT24" s="1496"/>
      <c r="AU24" s="1543"/>
      <c r="AV24" s="1503" t="s">
        <v>620</v>
      </c>
      <c r="AW24" s="1503" t="s">
        <v>621</v>
      </c>
      <c r="AX24" s="1475" t="s">
        <v>554</v>
      </c>
      <c r="AY24" s="1504">
        <v>0.25</v>
      </c>
    </row>
    <row r="25" spans="2:51">
      <c r="B25" s="1466">
        <f t="shared" si="22"/>
        <v>3</v>
      </c>
      <c r="C25" s="1467" t="str">
        <f t="shared" si="23"/>
        <v>明るさ</v>
      </c>
      <c r="D25" s="1468">
        <f>IF(I$9=0,0,G25/I$9)</f>
        <v>0.1</v>
      </c>
      <c r="E25" s="1468">
        <f>IF(J$9=0,0,H25/J$9)</f>
        <v>0</v>
      </c>
      <c r="F25" s="1534"/>
      <c r="G25" s="1476">
        <f t="shared" si="3"/>
        <v>0.1</v>
      </c>
      <c r="H25" s="1476">
        <f t="shared" si="20"/>
        <v>0</v>
      </c>
      <c r="I25" s="1476">
        <f>G26+G27</f>
        <v>1</v>
      </c>
      <c r="J25" s="1476">
        <f>H26+H27</f>
        <v>0</v>
      </c>
      <c r="K25" s="1476">
        <f>IF(スコア!O25=0,0,1)</f>
        <v>1</v>
      </c>
      <c r="L25" s="1476">
        <f>IF(スコア!P25=0,0,1)</f>
        <v>1</v>
      </c>
      <c r="M25" s="1476">
        <f>(S$7*S25)+(T$7*T25)+(U$7*U25)+(V$7*V25)+(W$7*W25)+(X$7*X25)+(Y$7*Y25)+(Z$7*Z25)+(AA$7*AA25)</f>
        <v>0.1</v>
      </c>
      <c r="N25" s="1476">
        <f t="shared" si="5"/>
        <v>0</v>
      </c>
      <c r="O25" s="1538"/>
      <c r="P25" s="1466">
        <f t="shared" si="24"/>
        <v>3</v>
      </c>
      <c r="Q25" s="1474" t="str">
        <f t="shared" si="25"/>
        <v>1.1</v>
      </c>
      <c r="R25" s="1466" t="str">
        <f t="shared" si="26"/>
        <v>明るさ</v>
      </c>
      <c r="S25" s="1564">
        <f t="shared" si="21"/>
        <v>0.1</v>
      </c>
      <c r="T25" s="1564">
        <f t="shared" si="27"/>
        <v>0</v>
      </c>
      <c r="U25" s="1564">
        <f t="shared" si="27"/>
        <v>0</v>
      </c>
      <c r="V25" s="1564">
        <f t="shared" si="27"/>
        <v>0</v>
      </c>
      <c r="W25" s="1564">
        <f t="shared" si="27"/>
        <v>0</v>
      </c>
      <c r="X25" s="1564">
        <f t="shared" si="27"/>
        <v>0</v>
      </c>
      <c r="Y25" s="1564">
        <f t="shared" si="27"/>
        <v>0</v>
      </c>
      <c r="Z25" s="1570">
        <f t="shared" si="27"/>
        <v>0</v>
      </c>
      <c r="AA25" s="1564">
        <f t="shared" si="27"/>
        <v>0</v>
      </c>
      <c r="AB25" s="1566">
        <f t="shared" si="27"/>
        <v>0</v>
      </c>
      <c r="AC25" s="1564">
        <f t="shared" si="27"/>
        <v>0</v>
      </c>
      <c r="AD25" s="1564">
        <f t="shared" si="27"/>
        <v>0</v>
      </c>
      <c r="AE25" s="1546"/>
      <c r="AF25" s="1492"/>
      <c r="AG25" s="1492"/>
      <c r="AH25" s="1492"/>
      <c r="AI25" s="1496"/>
      <c r="AJ25" s="1496"/>
      <c r="AK25" s="1496"/>
      <c r="AL25" s="1496"/>
      <c r="AM25" s="1496"/>
      <c r="AN25" s="1496"/>
      <c r="AO25" s="1496"/>
      <c r="AP25" s="1549"/>
      <c r="AQ25" s="1496"/>
      <c r="AR25" s="1496"/>
      <c r="AS25" s="1496"/>
      <c r="AT25" s="1496"/>
      <c r="AU25" s="1543"/>
      <c r="AV25" s="1501">
        <v>3</v>
      </c>
      <c r="AW25" s="1501" t="s">
        <v>520</v>
      </c>
      <c r="AX25" s="1467" t="s">
        <v>483</v>
      </c>
      <c r="AY25" s="1504">
        <v>0.1</v>
      </c>
    </row>
    <row r="26" spans="2:51">
      <c r="B26" s="1469">
        <f t="shared" si="22"/>
        <v>3.1</v>
      </c>
      <c r="C26" s="1470" t="str">
        <f t="shared" si="23"/>
        <v>昼光の利用</v>
      </c>
      <c r="D26" s="1471">
        <f>IF(I$25=0,0,G26/I$25)</f>
        <v>1</v>
      </c>
      <c r="E26" s="1471">
        <f>IF(J$25=0,0,H26/J$25)</f>
        <v>0</v>
      </c>
      <c r="F26" s="1534"/>
      <c r="G26" s="1483">
        <f t="shared" si="3"/>
        <v>1</v>
      </c>
      <c r="H26" s="1483">
        <f t="shared" si="20"/>
        <v>0</v>
      </c>
      <c r="I26" s="1483"/>
      <c r="J26" s="1483"/>
      <c r="K26" s="1483">
        <f>IF(スコア!O26=0,0,1)</f>
        <v>1</v>
      </c>
      <c r="L26" s="1483">
        <f>IF(スコア!P26=0,0,1)</f>
        <v>1</v>
      </c>
      <c r="M26" s="1483">
        <f t="shared" si="4"/>
        <v>1</v>
      </c>
      <c r="N26" s="1483">
        <f t="shared" si="5"/>
        <v>0</v>
      </c>
      <c r="O26" s="1538"/>
      <c r="P26" s="1474">
        <f t="shared" si="24"/>
        <v>3.1</v>
      </c>
      <c r="Q26" s="1474" t="str">
        <f t="shared" si="25"/>
        <v>1.1.3</v>
      </c>
      <c r="R26" s="1474" t="str">
        <f t="shared" si="26"/>
        <v>昼光の利用</v>
      </c>
      <c r="S26" s="1567">
        <f t="shared" si="21"/>
        <v>1</v>
      </c>
      <c r="T26" s="1567">
        <f t="shared" si="27"/>
        <v>0</v>
      </c>
      <c r="U26" s="1567">
        <f t="shared" si="27"/>
        <v>0</v>
      </c>
      <c r="V26" s="1567">
        <f t="shared" si="27"/>
        <v>0</v>
      </c>
      <c r="W26" s="1567">
        <f t="shared" si="27"/>
        <v>0</v>
      </c>
      <c r="X26" s="1567">
        <f t="shared" si="27"/>
        <v>0</v>
      </c>
      <c r="Y26" s="1567">
        <f t="shared" si="27"/>
        <v>0</v>
      </c>
      <c r="Z26" s="1571">
        <f t="shared" si="27"/>
        <v>0</v>
      </c>
      <c r="AA26" s="1567">
        <f t="shared" si="27"/>
        <v>0</v>
      </c>
      <c r="AB26" s="1568">
        <f t="shared" si="27"/>
        <v>0</v>
      </c>
      <c r="AC26" s="1567">
        <f t="shared" si="27"/>
        <v>0</v>
      </c>
      <c r="AD26" s="1567">
        <f t="shared" si="27"/>
        <v>0</v>
      </c>
      <c r="AE26" s="1546"/>
      <c r="AF26" s="1492"/>
      <c r="AG26" s="1492"/>
      <c r="AH26" s="1492"/>
      <c r="AI26" s="1496"/>
      <c r="AJ26" s="1496"/>
      <c r="AK26" s="1496"/>
      <c r="AL26" s="1496"/>
      <c r="AM26" s="1496"/>
      <c r="AN26" s="1496"/>
      <c r="AO26" s="1496"/>
      <c r="AP26" s="1549"/>
      <c r="AQ26" s="1496"/>
      <c r="AR26" s="1496"/>
      <c r="AS26" s="1496"/>
      <c r="AT26" s="1496"/>
      <c r="AU26" s="1543"/>
      <c r="AV26" s="1503">
        <v>3.1</v>
      </c>
      <c r="AW26" s="1503" t="s">
        <v>526</v>
      </c>
      <c r="AX26" s="1475" t="s">
        <v>484</v>
      </c>
      <c r="AY26" s="1507">
        <v>1</v>
      </c>
    </row>
    <row r="27" spans="2:51" hidden="1">
      <c r="B27" s="1469" t="str">
        <f t="shared" si="22"/>
        <v>3.2</v>
      </c>
      <c r="C27" s="1470" t="str">
        <f t="shared" si="23"/>
        <v>評価しない</v>
      </c>
      <c r="D27" s="1471">
        <f>IF(I$25=0,0,G27/I$25)</f>
        <v>0</v>
      </c>
      <c r="E27" s="1471">
        <f>IF(J$25=0,0,H27/J$25)</f>
        <v>0</v>
      </c>
      <c r="F27" s="1534"/>
      <c r="G27" s="1483">
        <f t="shared" si="3"/>
        <v>0</v>
      </c>
      <c r="H27" s="1483">
        <f t="shared" si="20"/>
        <v>0</v>
      </c>
      <c r="I27" s="1483"/>
      <c r="J27" s="1483"/>
      <c r="K27" s="1483">
        <f>IF(スコア!O27=0,0,1)</f>
        <v>0</v>
      </c>
      <c r="L27" s="1483">
        <f>IF(スコア!P27=0,0,1)</f>
        <v>0</v>
      </c>
      <c r="M27" s="1483">
        <f t="shared" si="4"/>
        <v>0</v>
      </c>
      <c r="N27" s="1483">
        <f t="shared" si="5"/>
        <v>0</v>
      </c>
      <c r="O27" s="1560"/>
      <c r="P27" s="1474" t="str">
        <f t="shared" si="24"/>
        <v>3.2</v>
      </c>
      <c r="Q27" s="1474">
        <f t="shared" si="25"/>
        <v>0</v>
      </c>
      <c r="R27" s="1474" t="str">
        <f t="shared" si="26"/>
        <v>評価しない</v>
      </c>
      <c r="S27" s="1567">
        <f t="shared" si="21"/>
        <v>0</v>
      </c>
      <c r="T27" s="1567">
        <f t="shared" si="27"/>
        <v>0</v>
      </c>
      <c r="U27" s="1567">
        <f t="shared" si="27"/>
        <v>0</v>
      </c>
      <c r="V27" s="1567">
        <f t="shared" si="27"/>
        <v>0</v>
      </c>
      <c r="W27" s="1567">
        <f t="shared" si="27"/>
        <v>0</v>
      </c>
      <c r="X27" s="1567">
        <f t="shared" si="27"/>
        <v>0</v>
      </c>
      <c r="Y27" s="1567">
        <f t="shared" si="27"/>
        <v>0</v>
      </c>
      <c r="Z27" s="1571">
        <f t="shared" si="27"/>
        <v>0</v>
      </c>
      <c r="AA27" s="1567">
        <f t="shared" si="27"/>
        <v>0</v>
      </c>
      <c r="AB27" s="1568">
        <f t="shared" si="27"/>
        <v>0</v>
      </c>
      <c r="AC27" s="1567">
        <f t="shared" si="27"/>
        <v>0</v>
      </c>
      <c r="AD27" s="1567">
        <f t="shared" si="27"/>
        <v>0</v>
      </c>
      <c r="AE27" s="1546"/>
      <c r="AF27" s="1492"/>
      <c r="AG27" s="1492"/>
      <c r="AH27" s="1492"/>
      <c r="AI27" s="1496"/>
      <c r="AJ27" s="1496"/>
      <c r="AK27" s="1496"/>
      <c r="AL27" s="1496"/>
      <c r="AM27" s="1496"/>
      <c r="AN27" s="1496"/>
      <c r="AO27" s="1496"/>
      <c r="AP27" s="1549"/>
      <c r="AQ27" s="1496"/>
      <c r="AR27" s="1496"/>
      <c r="AS27" s="1496"/>
      <c r="AT27" s="1496"/>
      <c r="AU27" s="1543"/>
      <c r="AV27" s="1503" t="s">
        <v>422</v>
      </c>
      <c r="AW27" s="1503"/>
      <c r="AX27" s="1470" t="s">
        <v>92</v>
      </c>
      <c r="AY27" s="1504">
        <v>0</v>
      </c>
    </row>
    <row r="28" spans="2:51">
      <c r="B28" s="1466">
        <f t="shared" si="22"/>
        <v>4</v>
      </c>
      <c r="C28" s="1467" t="str">
        <f t="shared" si="23"/>
        <v>静かさ</v>
      </c>
      <c r="D28" s="1468">
        <f>IF(I$9=0,0,G28/I$9)</f>
        <v>0.1</v>
      </c>
      <c r="E28" s="1468">
        <f>IF(J$9=0,0,H28/J$9)</f>
        <v>0</v>
      </c>
      <c r="F28" s="1559"/>
      <c r="G28" s="1476">
        <f>K28*((S$7*S28)+(T$7*T28)+(U$7*U28)+(V$7*V28)+(W$7*W28)+(X$7*X28)+(Y$7*Y28)+(Z$7*Z28)+(AA$7*AA28))</f>
        <v>0.1</v>
      </c>
      <c r="H28" s="1476">
        <f t="shared" si="20"/>
        <v>0</v>
      </c>
      <c r="I28" s="1476"/>
      <c r="J28" s="1476"/>
      <c r="K28" s="1476">
        <f>IF(スコア!O28=0,0,1)</f>
        <v>1</v>
      </c>
      <c r="L28" s="1476">
        <f>IF(スコア!P28=0,0,1)</f>
        <v>1</v>
      </c>
      <c r="M28" s="1476">
        <f t="shared" si="4"/>
        <v>0.1</v>
      </c>
      <c r="N28" s="1476">
        <f t="shared" si="5"/>
        <v>0</v>
      </c>
      <c r="O28" s="1560"/>
      <c r="P28" s="1466">
        <f t="shared" si="24"/>
        <v>4</v>
      </c>
      <c r="Q28" s="1466" t="str">
        <f t="shared" si="25"/>
        <v>1.1</v>
      </c>
      <c r="R28" s="1466" t="str">
        <f t="shared" si="26"/>
        <v>静かさ</v>
      </c>
      <c r="S28" s="1564">
        <f t="shared" si="21"/>
        <v>0.1</v>
      </c>
      <c r="T28" s="1564">
        <f t="shared" si="27"/>
        <v>0</v>
      </c>
      <c r="U28" s="1564">
        <f t="shared" si="27"/>
        <v>0</v>
      </c>
      <c r="V28" s="1564">
        <f t="shared" si="27"/>
        <v>0</v>
      </c>
      <c r="W28" s="1564">
        <f t="shared" si="27"/>
        <v>0</v>
      </c>
      <c r="X28" s="1564">
        <f t="shared" si="27"/>
        <v>0</v>
      </c>
      <c r="Y28" s="1564">
        <f t="shared" si="27"/>
        <v>0</v>
      </c>
      <c r="Z28" s="1570">
        <f t="shared" si="27"/>
        <v>0</v>
      </c>
      <c r="AA28" s="1564">
        <f t="shared" si="27"/>
        <v>0</v>
      </c>
      <c r="AB28" s="1566">
        <f t="shared" si="27"/>
        <v>0</v>
      </c>
      <c r="AC28" s="1564">
        <f t="shared" si="27"/>
        <v>0</v>
      </c>
      <c r="AD28" s="1564">
        <f t="shared" si="27"/>
        <v>0</v>
      </c>
      <c r="AE28" s="1572"/>
      <c r="AF28" s="1497"/>
      <c r="AG28" s="1497"/>
      <c r="AH28" s="1497"/>
      <c r="AI28" s="1573"/>
      <c r="AJ28" s="1573"/>
      <c r="AK28" s="1573"/>
      <c r="AL28" s="1573"/>
      <c r="AM28" s="1573"/>
      <c r="AN28" s="1573"/>
      <c r="AO28" s="1573"/>
      <c r="AP28" s="1574"/>
      <c r="AQ28" s="1573"/>
      <c r="AR28" s="1573"/>
      <c r="AS28" s="1573"/>
      <c r="AT28" s="1573"/>
      <c r="AU28" s="1575"/>
      <c r="AV28" s="1501">
        <v>4</v>
      </c>
      <c r="AW28" s="1501" t="s">
        <v>520</v>
      </c>
      <c r="AX28" s="1506" t="s">
        <v>485</v>
      </c>
      <c r="AY28" s="1508">
        <v>0.1</v>
      </c>
    </row>
    <row r="29" spans="2:51">
      <c r="B29" s="1463" t="s">
        <v>423</v>
      </c>
      <c r="C29" s="1464" t="str">
        <f t="shared" si="23"/>
        <v>長く使い続ける</v>
      </c>
      <c r="D29" s="1465">
        <f>IF(I$8=0,0,G29/I$8)</f>
        <v>0.3</v>
      </c>
      <c r="E29" s="1465">
        <f>IF(J$8=0,0,H29/J$8)</f>
        <v>0</v>
      </c>
      <c r="F29" s="1576"/>
      <c r="G29" s="1482">
        <f t="shared" si="3"/>
        <v>0.3</v>
      </c>
      <c r="H29" s="1482">
        <f t="shared" si="20"/>
        <v>0</v>
      </c>
      <c r="I29" s="1482">
        <f>G30+G38+G41</f>
        <v>1</v>
      </c>
      <c r="J29" s="1482">
        <f>H30+H38+H41</f>
        <v>0</v>
      </c>
      <c r="K29" s="1482">
        <f>IF(スコア!S29=0,0,1)</f>
        <v>1</v>
      </c>
      <c r="L29" s="1482">
        <f>IF(スコア!T29=0,0,1)</f>
        <v>0</v>
      </c>
      <c r="M29" s="1482">
        <f t="shared" si="4"/>
        <v>0.3</v>
      </c>
      <c r="N29" s="1482">
        <f t="shared" si="5"/>
        <v>0</v>
      </c>
      <c r="O29" s="1560"/>
      <c r="P29" s="1561" t="str">
        <f t="shared" si="24"/>
        <v>QH2</v>
      </c>
      <c r="Q29" s="1561" t="str">
        <f t="shared" si="25"/>
        <v>1</v>
      </c>
      <c r="R29" s="1561" t="str">
        <f t="shared" si="26"/>
        <v>長く使い続ける</v>
      </c>
      <c r="S29" s="1562">
        <f t="shared" si="21"/>
        <v>0.3</v>
      </c>
      <c r="T29" s="1562">
        <f t="shared" ref="T29:U32" si="29">IF($P$3=1,AJ29,AZ29)</f>
        <v>0</v>
      </c>
      <c r="U29" s="1562">
        <f t="shared" si="29"/>
        <v>0</v>
      </c>
      <c r="V29" s="1562">
        <f t="shared" ref="V29:AD40" si="30">IF($P$3=1,AL29,BB29)</f>
        <v>0</v>
      </c>
      <c r="W29" s="1562">
        <f t="shared" si="30"/>
        <v>0</v>
      </c>
      <c r="X29" s="1562">
        <f t="shared" si="30"/>
        <v>0</v>
      </c>
      <c r="Y29" s="1562">
        <f t="shared" si="30"/>
        <v>0</v>
      </c>
      <c r="Z29" s="1562">
        <f t="shared" si="30"/>
        <v>0</v>
      </c>
      <c r="AA29" s="1562">
        <f t="shared" si="30"/>
        <v>0</v>
      </c>
      <c r="AB29" s="1563">
        <f t="shared" si="30"/>
        <v>0</v>
      </c>
      <c r="AC29" s="1562">
        <f t="shared" si="30"/>
        <v>0</v>
      </c>
      <c r="AD29" s="1562">
        <f t="shared" si="30"/>
        <v>0</v>
      </c>
      <c r="AE29" s="1572"/>
      <c r="AF29" s="1497"/>
      <c r="AG29" s="1497"/>
      <c r="AH29" s="1497"/>
      <c r="AI29" s="1573"/>
      <c r="AJ29" s="1573"/>
      <c r="AK29" s="1573"/>
      <c r="AL29" s="1573"/>
      <c r="AM29" s="1573"/>
      <c r="AN29" s="1573"/>
      <c r="AO29" s="1573"/>
      <c r="AP29" s="1574"/>
      <c r="AQ29" s="1573"/>
      <c r="AR29" s="1573"/>
      <c r="AS29" s="1573"/>
      <c r="AT29" s="1573"/>
      <c r="AU29" s="1575"/>
      <c r="AV29" s="1463" t="s">
        <v>423</v>
      </c>
      <c r="AW29" s="1463" t="s">
        <v>519</v>
      </c>
      <c r="AX29" s="1464" t="s">
        <v>486</v>
      </c>
      <c r="AY29" s="1500">
        <v>0.3</v>
      </c>
    </row>
    <row r="30" spans="2:51">
      <c r="B30" s="1466">
        <f t="shared" si="22"/>
        <v>1</v>
      </c>
      <c r="C30" s="1467" t="str">
        <f t="shared" si="23"/>
        <v>長寿命に対する基本性能</v>
      </c>
      <c r="D30" s="1468">
        <f>IF(I$29=0,0,G30/I$29)</f>
        <v>0.5</v>
      </c>
      <c r="E30" s="1468">
        <f>IF(J$29=0,0,H30/J$29)</f>
        <v>0</v>
      </c>
      <c r="F30" s="1559"/>
      <c r="G30" s="1476">
        <f t="shared" si="3"/>
        <v>0.5</v>
      </c>
      <c r="H30" s="1476">
        <f t="shared" si="20"/>
        <v>0</v>
      </c>
      <c r="I30" s="1476">
        <f>G31+G32+G33+G34+G35</f>
        <v>1</v>
      </c>
      <c r="J30" s="1476">
        <f>H31+H32+H33+H34+H35</f>
        <v>0</v>
      </c>
      <c r="K30" s="1476">
        <f>IF(スコア!O30=0,0,1)</f>
        <v>1</v>
      </c>
      <c r="L30" s="1476">
        <f>IF(スコア!P30=0,0,1)</f>
        <v>1</v>
      </c>
      <c r="M30" s="1476">
        <f t="shared" si="4"/>
        <v>0.5</v>
      </c>
      <c r="N30" s="1476">
        <f t="shared" si="5"/>
        <v>0</v>
      </c>
      <c r="O30" s="1560"/>
      <c r="P30" s="1466">
        <f t="shared" si="24"/>
        <v>1</v>
      </c>
      <c r="Q30" s="1466" t="str">
        <f t="shared" si="25"/>
        <v>1.2</v>
      </c>
      <c r="R30" s="1466" t="str">
        <f t="shared" si="26"/>
        <v>長寿命に対する基本性能</v>
      </c>
      <c r="S30" s="1577">
        <f t="shared" si="21"/>
        <v>0.5</v>
      </c>
      <c r="T30" s="1577">
        <f t="shared" si="29"/>
        <v>0</v>
      </c>
      <c r="U30" s="1577">
        <f t="shared" si="29"/>
        <v>0</v>
      </c>
      <c r="V30" s="1577">
        <f t="shared" si="30"/>
        <v>0</v>
      </c>
      <c r="W30" s="1577">
        <f t="shared" si="30"/>
        <v>0</v>
      </c>
      <c r="X30" s="1577">
        <f t="shared" si="30"/>
        <v>0</v>
      </c>
      <c r="Y30" s="1577">
        <f t="shared" si="30"/>
        <v>0</v>
      </c>
      <c r="Z30" s="1570">
        <f t="shared" si="30"/>
        <v>0</v>
      </c>
      <c r="AA30" s="1577">
        <f t="shared" si="30"/>
        <v>0</v>
      </c>
      <c r="AB30" s="1578">
        <f t="shared" si="30"/>
        <v>0</v>
      </c>
      <c r="AC30" s="1577">
        <f t="shared" si="30"/>
        <v>0</v>
      </c>
      <c r="AD30" s="1577">
        <f t="shared" si="30"/>
        <v>0</v>
      </c>
      <c r="AE30" s="1572"/>
      <c r="AF30" s="1497"/>
      <c r="AG30" s="1497"/>
      <c r="AH30" s="1497"/>
      <c r="AI30" s="1573"/>
      <c r="AJ30" s="1573"/>
      <c r="AK30" s="1573"/>
      <c r="AL30" s="1573"/>
      <c r="AM30" s="1573"/>
      <c r="AN30" s="1573"/>
      <c r="AO30" s="1573"/>
      <c r="AP30" s="1574"/>
      <c r="AQ30" s="1573"/>
      <c r="AR30" s="1573"/>
      <c r="AS30" s="1573"/>
      <c r="AT30" s="1573"/>
      <c r="AU30" s="1575"/>
      <c r="AV30" s="1501">
        <v>1</v>
      </c>
      <c r="AW30" s="1501" t="s">
        <v>527</v>
      </c>
      <c r="AX30" s="1467" t="s">
        <v>537</v>
      </c>
      <c r="AY30" s="1508">
        <v>0.5</v>
      </c>
    </row>
    <row r="31" spans="2:51">
      <c r="B31" s="1474">
        <f t="shared" si="22"/>
        <v>1.1000000000000001</v>
      </c>
      <c r="C31" s="1475" t="str">
        <f t="shared" si="23"/>
        <v>躯体</v>
      </c>
      <c r="D31" s="1471">
        <f t="shared" ref="D31:E35" si="31">IF(I$30=0,0,G31/I$30)</f>
        <v>0.3</v>
      </c>
      <c r="E31" s="1471">
        <f t="shared" si="31"/>
        <v>0</v>
      </c>
      <c r="F31" s="1534"/>
      <c r="G31" s="1483">
        <f t="shared" si="3"/>
        <v>0.3</v>
      </c>
      <c r="H31" s="1483">
        <f t="shared" si="20"/>
        <v>0</v>
      </c>
      <c r="I31" s="1483"/>
      <c r="J31" s="1483"/>
      <c r="K31" s="1483">
        <f>IF(スコア!O31=0,0,1)</f>
        <v>1</v>
      </c>
      <c r="L31" s="1483">
        <f>IF(スコア!P31=0,0,1)</f>
        <v>1</v>
      </c>
      <c r="M31" s="1483">
        <f t="shared" si="4"/>
        <v>0.3</v>
      </c>
      <c r="N31" s="1483">
        <f t="shared" si="5"/>
        <v>0</v>
      </c>
      <c r="O31" s="1560"/>
      <c r="P31" s="1474">
        <f t="shared" si="24"/>
        <v>1.1000000000000001</v>
      </c>
      <c r="Q31" s="1474" t="str">
        <f t="shared" si="25"/>
        <v>1.2.1</v>
      </c>
      <c r="R31" s="1474" t="str">
        <f t="shared" si="26"/>
        <v>躯体</v>
      </c>
      <c r="S31" s="1567">
        <f t="shared" si="21"/>
        <v>0.3</v>
      </c>
      <c r="T31" s="1567">
        <f t="shared" si="29"/>
        <v>0</v>
      </c>
      <c r="U31" s="1567">
        <f t="shared" si="29"/>
        <v>0</v>
      </c>
      <c r="V31" s="1567">
        <f t="shared" si="30"/>
        <v>0</v>
      </c>
      <c r="W31" s="1567">
        <f t="shared" si="30"/>
        <v>0</v>
      </c>
      <c r="X31" s="1567">
        <f t="shared" si="30"/>
        <v>0</v>
      </c>
      <c r="Y31" s="1567">
        <f t="shared" si="30"/>
        <v>0</v>
      </c>
      <c r="Z31" s="1571">
        <f t="shared" si="30"/>
        <v>0</v>
      </c>
      <c r="AA31" s="1567">
        <f t="shared" si="30"/>
        <v>0</v>
      </c>
      <c r="AB31" s="1568">
        <f t="shared" si="30"/>
        <v>0</v>
      </c>
      <c r="AC31" s="1567">
        <f t="shared" si="30"/>
        <v>0</v>
      </c>
      <c r="AD31" s="1567">
        <f t="shared" si="30"/>
        <v>0</v>
      </c>
      <c r="AE31" s="1546"/>
      <c r="AF31" s="1492"/>
      <c r="AG31" s="1492"/>
      <c r="AH31" s="1492"/>
      <c r="AI31" s="1496"/>
      <c r="AJ31" s="1496"/>
      <c r="AK31" s="1496"/>
      <c r="AL31" s="1496"/>
      <c r="AM31" s="1496"/>
      <c r="AN31" s="1496"/>
      <c r="AO31" s="1496"/>
      <c r="AP31" s="1549"/>
      <c r="AQ31" s="1496"/>
      <c r="AR31" s="1496"/>
      <c r="AS31" s="1496"/>
      <c r="AT31" s="1496"/>
      <c r="AU31" s="1543"/>
      <c r="AV31" s="1503">
        <v>1.1000000000000001</v>
      </c>
      <c r="AW31" s="1503" t="s">
        <v>522</v>
      </c>
      <c r="AX31" s="1470" t="s">
        <v>194</v>
      </c>
      <c r="AY31" s="1504">
        <v>0.3</v>
      </c>
    </row>
    <row r="32" spans="2:51">
      <c r="B32" s="1474">
        <f t="shared" si="22"/>
        <v>1.2</v>
      </c>
      <c r="C32" s="1475" t="str">
        <f t="shared" si="23"/>
        <v>外壁材</v>
      </c>
      <c r="D32" s="1471">
        <f t="shared" si="31"/>
        <v>0.1</v>
      </c>
      <c r="E32" s="1471">
        <f t="shared" si="31"/>
        <v>0</v>
      </c>
      <c r="F32" s="1579"/>
      <c r="G32" s="1483">
        <f t="shared" si="3"/>
        <v>0.1</v>
      </c>
      <c r="H32" s="1483">
        <f t="shared" si="20"/>
        <v>0</v>
      </c>
      <c r="I32" s="1483"/>
      <c r="J32" s="1483"/>
      <c r="K32" s="1483">
        <f>IF(スコア!O32=0,0,1)</f>
        <v>1</v>
      </c>
      <c r="L32" s="1483">
        <f>IF(スコア!P32=0,0,1)</f>
        <v>1</v>
      </c>
      <c r="M32" s="1483">
        <f t="shared" si="4"/>
        <v>0.1</v>
      </c>
      <c r="N32" s="1483">
        <f t="shared" si="5"/>
        <v>0</v>
      </c>
      <c r="O32" s="1560"/>
      <c r="P32" s="1474">
        <f t="shared" si="24"/>
        <v>1.2</v>
      </c>
      <c r="Q32" s="1474" t="str">
        <f t="shared" si="25"/>
        <v>1.2.1</v>
      </c>
      <c r="R32" s="1474" t="str">
        <f t="shared" si="26"/>
        <v>外壁材</v>
      </c>
      <c r="S32" s="1567">
        <f t="shared" si="21"/>
        <v>0.1</v>
      </c>
      <c r="T32" s="1567">
        <f t="shared" si="29"/>
        <v>0</v>
      </c>
      <c r="U32" s="1567">
        <f t="shared" si="29"/>
        <v>0</v>
      </c>
      <c r="V32" s="1567">
        <f t="shared" si="30"/>
        <v>0</v>
      </c>
      <c r="W32" s="1567">
        <f t="shared" si="30"/>
        <v>0</v>
      </c>
      <c r="X32" s="1567">
        <f t="shared" si="30"/>
        <v>0</v>
      </c>
      <c r="Y32" s="1567">
        <f t="shared" si="30"/>
        <v>0</v>
      </c>
      <c r="Z32" s="1571">
        <f t="shared" si="30"/>
        <v>0</v>
      </c>
      <c r="AA32" s="1567">
        <f t="shared" si="30"/>
        <v>0</v>
      </c>
      <c r="AB32" s="1568">
        <f t="shared" si="30"/>
        <v>0</v>
      </c>
      <c r="AC32" s="1567">
        <f t="shared" si="30"/>
        <v>0</v>
      </c>
      <c r="AD32" s="1567">
        <f t="shared" si="30"/>
        <v>0</v>
      </c>
      <c r="AE32" s="1546"/>
      <c r="AF32" s="1492"/>
      <c r="AG32" s="1492"/>
      <c r="AH32" s="1492"/>
      <c r="AI32" s="1496"/>
      <c r="AJ32" s="1496"/>
      <c r="AK32" s="1496"/>
      <c r="AL32" s="1496"/>
      <c r="AM32" s="1496"/>
      <c r="AN32" s="1496"/>
      <c r="AO32" s="1496"/>
      <c r="AP32" s="1549"/>
      <c r="AQ32" s="1496"/>
      <c r="AR32" s="1496"/>
      <c r="AS32" s="1496"/>
      <c r="AT32" s="1496"/>
      <c r="AU32" s="1543"/>
      <c r="AV32" s="1503">
        <v>1.2</v>
      </c>
      <c r="AW32" s="1503" t="s">
        <v>522</v>
      </c>
      <c r="AX32" s="1470" t="s">
        <v>538</v>
      </c>
      <c r="AY32" s="1504">
        <v>0.1</v>
      </c>
    </row>
    <row r="33" spans="2:51">
      <c r="B33" s="1474">
        <f t="shared" si="22"/>
        <v>1.3</v>
      </c>
      <c r="C33" s="1475" t="str">
        <f t="shared" si="23"/>
        <v>屋根材，陸屋根</v>
      </c>
      <c r="D33" s="1471">
        <f t="shared" si="31"/>
        <v>0.1</v>
      </c>
      <c r="E33" s="1471">
        <f t="shared" si="31"/>
        <v>0</v>
      </c>
      <c r="F33" s="1534"/>
      <c r="G33" s="1483">
        <f t="shared" si="3"/>
        <v>0.1</v>
      </c>
      <c r="H33" s="1483">
        <f t="shared" si="20"/>
        <v>0</v>
      </c>
      <c r="I33" s="1483"/>
      <c r="J33" s="1483"/>
      <c r="K33" s="1483">
        <f>IF(スコア!O33=0,0,1)</f>
        <v>1</v>
      </c>
      <c r="L33" s="1483">
        <f>IF(スコア!P33=0,0,1)</f>
        <v>1</v>
      </c>
      <c r="M33" s="1483">
        <f t="shared" si="4"/>
        <v>0.1</v>
      </c>
      <c r="N33" s="1483">
        <f t="shared" si="5"/>
        <v>0</v>
      </c>
      <c r="O33" s="1560"/>
      <c r="P33" s="1474">
        <f t="shared" ref="P33:Q37" si="32">IF($P$3=1,AF33,AV33)</f>
        <v>1.3</v>
      </c>
      <c r="Q33" s="1474" t="str">
        <f t="shared" si="32"/>
        <v>1.2.1</v>
      </c>
      <c r="R33" s="1474" t="str">
        <f t="shared" ref="R33:R39" si="33">IF($P$3=1,AH33,AX33)</f>
        <v>屋根材，陸屋根</v>
      </c>
      <c r="S33" s="1567">
        <f t="shared" si="21"/>
        <v>0.1</v>
      </c>
      <c r="T33" s="1567"/>
      <c r="U33" s="1567"/>
      <c r="V33" s="1567"/>
      <c r="W33" s="1567"/>
      <c r="X33" s="1567"/>
      <c r="Y33" s="1567"/>
      <c r="Z33" s="1571"/>
      <c r="AA33" s="1567"/>
      <c r="AB33" s="1568"/>
      <c r="AC33" s="1568"/>
      <c r="AD33" s="1568"/>
      <c r="AE33" s="1546"/>
      <c r="AF33" s="1492"/>
      <c r="AG33" s="1492"/>
      <c r="AH33" s="1492"/>
      <c r="AI33" s="1496"/>
      <c r="AJ33" s="1496"/>
      <c r="AK33" s="1496"/>
      <c r="AL33" s="1496"/>
      <c r="AM33" s="1496"/>
      <c r="AN33" s="1496"/>
      <c r="AO33" s="1496"/>
      <c r="AP33" s="1549"/>
      <c r="AQ33" s="1496"/>
      <c r="AR33" s="1496"/>
      <c r="AS33" s="1496"/>
      <c r="AT33" s="1496"/>
      <c r="AU33" s="1543"/>
      <c r="AV33" s="1503">
        <v>1.3</v>
      </c>
      <c r="AW33" s="1503" t="s">
        <v>522</v>
      </c>
      <c r="AX33" s="1470" t="s">
        <v>1100</v>
      </c>
      <c r="AY33" s="1504">
        <v>0.1</v>
      </c>
    </row>
    <row r="34" spans="2:51">
      <c r="B34" s="1474">
        <f t="shared" si="22"/>
        <v>1.4</v>
      </c>
      <c r="C34" s="1475" t="str">
        <f t="shared" si="23"/>
        <v>自然災害に耐える</v>
      </c>
      <c r="D34" s="1471">
        <f t="shared" si="31"/>
        <v>0.3</v>
      </c>
      <c r="E34" s="1471">
        <f t="shared" si="31"/>
        <v>0</v>
      </c>
      <c r="F34" s="1534"/>
      <c r="G34" s="1483">
        <f t="shared" si="3"/>
        <v>0.3</v>
      </c>
      <c r="H34" s="1483">
        <f t="shared" si="20"/>
        <v>0</v>
      </c>
      <c r="I34" s="1483"/>
      <c r="J34" s="1483"/>
      <c r="K34" s="1483">
        <f>IF(スコア!O34=0,0,1)</f>
        <v>1</v>
      </c>
      <c r="L34" s="1483">
        <f>IF(スコア!P34=0,0,1)</f>
        <v>1</v>
      </c>
      <c r="M34" s="1483">
        <f t="shared" si="4"/>
        <v>0.3</v>
      </c>
      <c r="N34" s="1483">
        <f t="shared" si="5"/>
        <v>0</v>
      </c>
      <c r="O34" s="1560"/>
      <c r="P34" s="1474">
        <f t="shared" si="32"/>
        <v>1.4</v>
      </c>
      <c r="Q34" s="1474" t="str">
        <f t="shared" si="32"/>
        <v>1.2.1</v>
      </c>
      <c r="R34" s="1474" t="str">
        <f t="shared" si="33"/>
        <v>自然災害に耐える</v>
      </c>
      <c r="S34" s="1567">
        <f t="shared" si="21"/>
        <v>0.3</v>
      </c>
      <c r="T34" s="1567"/>
      <c r="U34" s="1567"/>
      <c r="V34" s="1567"/>
      <c r="W34" s="1567"/>
      <c r="X34" s="1567"/>
      <c r="Y34" s="1567"/>
      <c r="Z34" s="1571"/>
      <c r="AA34" s="1567"/>
      <c r="AB34" s="1568"/>
      <c r="AC34" s="1568"/>
      <c r="AD34" s="1568"/>
      <c r="AE34" s="1546"/>
      <c r="AF34" s="1492"/>
      <c r="AG34" s="1492"/>
      <c r="AH34" s="1492"/>
      <c r="AI34" s="1496"/>
      <c r="AJ34" s="1496"/>
      <c r="AK34" s="1496"/>
      <c r="AL34" s="1496"/>
      <c r="AM34" s="1496"/>
      <c r="AN34" s="1496"/>
      <c r="AO34" s="1496"/>
      <c r="AP34" s="1549"/>
      <c r="AQ34" s="1496"/>
      <c r="AR34" s="1496"/>
      <c r="AS34" s="1496"/>
      <c r="AT34" s="1496"/>
      <c r="AU34" s="1543"/>
      <c r="AV34" s="1503">
        <v>1.4</v>
      </c>
      <c r="AW34" s="1503" t="s">
        <v>522</v>
      </c>
      <c r="AX34" s="1470" t="s">
        <v>488</v>
      </c>
      <c r="AY34" s="1504">
        <v>0.3</v>
      </c>
    </row>
    <row r="35" spans="2:51">
      <c r="B35" s="1474">
        <f t="shared" si="22"/>
        <v>1.5</v>
      </c>
      <c r="C35" s="1474" t="str">
        <f t="shared" si="23"/>
        <v>火災に備える</v>
      </c>
      <c r="D35" s="1471">
        <f t="shared" si="31"/>
        <v>0.2</v>
      </c>
      <c r="E35" s="1471">
        <f t="shared" si="31"/>
        <v>0</v>
      </c>
      <c r="F35" s="1534"/>
      <c r="G35" s="1483">
        <f t="shared" si="3"/>
        <v>0.2</v>
      </c>
      <c r="H35" s="1483">
        <f t="shared" si="20"/>
        <v>0</v>
      </c>
      <c r="I35" s="1483">
        <f>G36+G37</f>
        <v>1</v>
      </c>
      <c r="J35" s="1483">
        <f>H36+H37</f>
        <v>0</v>
      </c>
      <c r="K35" s="1483">
        <f>IF(スコア!O35=0,0,1)</f>
        <v>1</v>
      </c>
      <c r="L35" s="1483">
        <f>IF(スコア!P35=0,0,1)</f>
        <v>1</v>
      </c>
      <c r="M35" s="1483">
        <f t="shared" si="4"/>
        <v>0.2</v>
      </c>
      <c r="N35" s="1483">
        <f t="shared" si="5"/>
        <v>0</v>
      </c>
      <c r="O35" s="1560"/>
      <c r="P35" s="1474">
        <f t="shared" si="32"/>
        <v>1.5</v>
      </c>
      <c r="Q35" s="1474" t="str">
        <f t="shared" si="32"/>
        <v>1.2.1</v>
      </c>
      <c r="R35" s="1474" t="str">
        <f t="shared" si="33"/>
        <v>火災に備える</v>
      </c>
      <c r="S35" s="1567">
        <f t="shared" si="21"/>
        <v>0.2</v>
      </c>
      <c r="T35" s="1567"/>
      <c r="U35" s="1567"/>
      <c r="V35" s="1567"/>
      <c r="W35" s="1567"/>
      <c r="X35" s="1567"/>
      <c r="Y35" s="1567"/>
      <c r="Z35" s="1571"/>
      <c r="AA35" s="1567"/>
      <c r="AB35" s="1568"/>
      <c r="AC35" s="1568"/>
      <c r="AD35" s="1568"/>
      <c r="AE35" s="1546"/>
      <c r="AF35" s="1492"/>
      <c r="AG35" s="1492"/>
      <c r="AH35" s="1492"/>
      <c r="AI35" s="1496"/>
      <c r="AJ35" s="1496"/>
      <c r="AK35" s="1496"/>
      <c r="AL35" s="1496"/>
      <c r="AM35" s="1496"/>
      <c r="AN35" s="1496"/>
      <c r="AO35" s="1496"/>
      <c r="AP35" s="1549"/>
      <c r="AQ35" s="1496"/>
      <c r="AR35" s="1496"/>
      <c r="AS35" s="1496"/>
      <c r="AT35" s="1496"/>
      <c r="AU35" s="1543"/>
      <c r="AV35" s="1503">
        <v>1.5</v>
      </c>
      <c r="AW35" s="1503" t="s">
        <v>522</v>
      </c>
      <c r="AX35" s="1470" t="s">
        <v>489</v>
      </c>
      <c r="AY35" s="1504">
        <v>0.2</v>
      </c>
    </row>
    <row r="36" spans="2:51">
      <c r="B36" s="1474" t="str">
        <f t="shared" si="22"/>
        <v>1.5.1</v>
      </c>
      <c r="C36" s="1475" t="str">
        <f t="shared" ref="C36:C56" si="34">R36</f>
        <v>火災に耐える構造</v>
      </c>
      <c r="D36" s="1471">
        <f>IF(I$35=0,0,G36/I$35)</f>
        <v>0.65</v>
      </c>
      <c r="E36" s="1471">
        <f>IF(J$35=0,0,H36/J$35)</f>
        <v>0</v>
      </c>
      <c r="F36" s="1534"/>
      <c r="G36" s="1483">
        <f t="shared" si="3"/>
        <v>0.65</v>
      </c>
      <c r="H36" s="1483">
        <f t="shared" si="20"/>
        <v>0</v>
      </c>
      <c r="I36" s="1483"/>
      <c r="J36" s="1483"/>
      <c r="K36" s="1483">
        <f>IF(スコア!O36=0,0,1)</f>
        <v>1</v>
      </c>
      <c r="L36" s="1483">
        <f>IF(スコア!P36=0,0,1)</f>
        <v>1</v>
      </c>
      <c r="M36" s="1483">
        <f t="shared" si="4"/>
        <v>0.65</v>
      </c>
      <c r="N36" s="1483">
        <f t="shared" si="5"/>
        <v>0</v>
      </c>
      <c r="O36" s="1560"/>
      <c r="P36" s="1474" t="str">
        <f t="shared" si="32"/>
        <v>1.5.1</v>
      </c>
      <c r="Q36" s="1474" t="str">
        <f t="shared" si="32"/>
        <v>1.2.1.1</v>
      </c>
      <c r="R36" s="1474" t="str">
        <f t="shared" si="33"/>
        <v>火災に耐える構造</v>
      </c>
      <c r="S36" s="1567">
        <f t="shared" si="21"/>
        <v>0.65</v>
      </c>
      <c r="T36" s="1567"/>
      <c r="U36" s="1567"/>
      <c r="V36" s="1567"/>
      <c r="W36" s="1567"/>
      <c r="X36" s="1567"/>
      <c r="Y36" s="1567"/>
      <c r="Z36" s="1571"/>
      <c r="AA36" s="1567"/>
      <c r="AB36" s="1568"/>
      <c r="AC36" s="1568"/>
      <c r="AD36" s="1568"/>
      <c r="AE36" s="1546"/>
      <c r="AF36" s="1492"/>
      <c r="AG36" s="1492"/>
      <c r="AH36" s="1492"/>
      <c r="AI36" s="1496"/>
      <c r="AJ36" s="1496"/>
      <c r="AK36" s="1496"/>
      <c r="AL36" s="1496"/>
      <c r="AM36" s="1496"/>
      <c r="AN36" s="1496"/>
      <c r="AO36" s="1496"/>
      <c r="AP36" s="1549"/>
      <c r="AQ36" s="1496"/>
      <c r="AR36" s="1496"/>
      <c r="AS36" s="1496"/>
      <c r="AT36" s="1496"/>
      <c r="AU36" s="1543"/>
      <c r="AV36" s="1503" t="s">
        <v>528</v>
      </c>
      <c r="AW36" s="1503" t="s">
        <v>43</v>
      </c>
      <c r="AX36" s="1470" t="s">
        <v>254</v>
      </c>
      <c r="AY36" s="1504">
        <v>0.65</v>
      </c>
    </row>
    <row r="37" spans="2:51">
      <c r="B37" s="1469" t="str">
        <f t="shared" si="22"/>
        <v>1.5.2</v>
      </c>
      <c r="C37" s="1470" t="str">
        <f t="shared" si="34"/>
        <v>火災の早期感知</v>
      </c>
      <c r="D37" s="1471">
        <f>IF(I$35=0,0,G37/I$35)</f>
        <v>0.35</v>
      </c>
      <c r="E37" s="1471">
        <f>IF(J$35=0,0,H37/J$35)</f>
        <v>0</v>
      </c>
      <c r="F37" s="1534"/>
      <c r="G37" s="1483">
        <f t="shared" si="3"/>
        <v>0.35</v>
      </c>
      <c r="H37" s="1483">
        <f t="shared" si="20"/>
        <v>0</v>
      </c>
      <c r="I37" s="1483"/>
      <c r="J37" s="1483"/>
      <c r="K37" s="1483">
        <f>IF(スコア!O37=0,0,1)</f>
        <v>1</v>
      </c>
      <c r="L37" s="1483">
        <f>IF(スコア!P37=0,0,1)</f>
        <v>1</v>
      </c>
      <c r="M37" s="1483">
        <f t="shared" si="4"/>
        <v>0.35</v>
      </c>
      <c r="N37" s="1483">
        <f t="shared" si="5"/>
        <v>0</v>
      </c>
      <c r="O37" s="1560"/>
      <c r="P37" s="1474" t="str">
        <f t="shared" si="32"/>
        <v>1.5.2</v>
      </c>
      <c r="Q37" s="1474" t="str">
        <f t="shared" si="32"/>
        <v>1.2.1.1</v>
      </c>
      <c r="R37" s="1474" t="str">
        <f t="shared" si="33"/>
        <v>火災の早期感知</v>
      </c>
      <c r="S37" s="1567">
        <f t="shared" si="21"/>
        <v>0.35</v>
      </c>
      <c r="T37" s="1567"/>
      <c r="U37" s="1567"/>
      <c r="V37" s="1567"/>
      <c r="W37" s="1567"/>
      <c r="X37" s="1567"/>
      <c r="Y37" s="1567"/>
      <c r="Z37" s="1571"/>
      <c r="AA37" s="1567"/>
      <c r="AB37" s="1568"/>
      <c r="AC37" s="1568"/>
      <c r="AD37" s="1568"/>
      <c r="AE37" s="1546"/>
      <c r="AF37" s="1492"/>
      <c r="AG37" s="1492"/>
      <c r="AH37" s="1492"/>
      <c r="AI37" s="1496"/>
      <c r="AJ37" s="1496"/>
      <c r="AK37" s="1496"/>
      <c r="AL37" s="1496"/>
      <c r="AM37" s="1496"/>
      <c r="AN37" s="1496"/>
      <c r="AO37" s="1496"/>
      <c r="AP37" s="1549"/>
      <c r="AQ37" s="1496"/>
      <c r="AR37" s="1496"/>
      <c r="AS37" s="1496"/>
      <c r="AT37" s="1496"/>
      <c r="AU37" s="1543"/>
      <c r="AV37" s="1503" t="s">
        <v>529</v>
      </c>
      <c r="AW37" s="1503" t="s">
        <v>43</v>
      </c>
      <c r="AX37" s="1470" t="s">
        <v>490</v>
      </c>
      <c r="AY37" s="1504">
        <v>0.35</v>
      </c>
    </row>
    <row r="38" spans="2:51">
      <c r="B38" s="1466">
        <f t="shared" si="22"/>
        <v>2</v>
      </c>
      <c r="C38" s="1467" t="str">
        <f t="shared" si="34"/>
        <v>維持管理</v>
      </c>
      <c r="D38" s="1476">
        <f>IF(I$29=0,0,G38/I$29)</f>
        <v>0.25</v>
      </c>
      <c r="E38" s="1476">
        <f>IF(J$29=0,0,H38/J$29)</f>
        <v>0</v>
      </c>
      <c r="F38" s="1559"/>
      <c r="G38" s="1476">
        <f t="shared" si="3"/>
        <v>0.25</v>
      </c>
      <c r="H38" s="1476">
        <f t="shared" si="20"/>
        <v>0</v>
      </c>
      <c r="I38" s="1476">
        <f>G39+G40</f>
        <v>1</v>
      </c>
      <c r="J38" s="1476">
        <f>H39+H40</f>
        <v>0</v>
      </c>
      <c r="K38" s="1476">
        <f>IF(スコア!O38=0,0,1)</f>
        <v>1</v>
      </c>
      <c r="L38" s="1476">
        <f>IF(スコア!P38=0,0,1)</f>
        <v>1</v>
      </c>
      <c r="M38" s="1476">
        <f t="shared" si="4"/>
        <v>0.25</v>
      </c>
      <c r="N38" s="1476">
        <f t="shared" si="5"/>
        <v>0</v>
      </c>
      <c r="O38" s="1560"/>
      <c r="P38" s="1466">
        <f>IF($P$3=1,AF38,AV38)</f>
        <v>2</v>
      </c>
      <c r="Q38" s="1474" t="str">
        <f t="shared" ref="Q38:Q57" si="35">IF($P$3=1,AG38,AW38)</f>
        <v>1.2</v>
      </c>
      <c r="R38" s="1466" t="str">
        <f t="shared" si="33"/>
        <v>維持管理</v>
      </c>
      <c r="S38" s="1564">
        <f t="shared" si="21"/>
        <v>0.25</v>
      </c>
      <c r="T38" s="1564">
        <f>IF($P$3=1,AJ38,AZ38)</f>
        <v>0</v>
      </c>
      <c r="U38" s="1564">
        <f>IF($P$3=1,AK38,BA38)</f>
        <v>0</v>
      </c>
      <c r="V38" s="1564">
        <f t="shared" si="30"/>
        <v>0</v>
      </c>
      <c r="W38" s="1564">
        <f t="shared" si="30"/>
        <v>0</v>
      </c>
      <c r="X38" s="1564">
        <f t="shared" si="30"/>
        <v>0</v>
      </c>
      <c r="Y38" s="1564">
        <f t="shared" si="30"/>
        <v>0</v>
      </c>
      <c r="Z38" s="1580">
        <f t="shared" si="30"/>
        <v>0</v>
      </c>
      <c r="AA38" s="1564">
        <f t="shared" si="30"/>
        <v>0</v>
      </c>
      <c r="AB38" s="1566">
        <f t="shared" si="30"/>
        <v>0</v>
      </c>
      <c r="AC38" s="1564">
        <f t="shared" si="30"/>
        <v>0</v>
      </c>
      <c r="AD38" s="1564">
        <f t="shared" si="30"/>
        <v>0</v>
      </c>
      <c r="AE38" s="1546"/>
      <c r="AF38" s="1492"/>
      <c r="AG38" s="1492"/>
      <c r="AH38" s="1492"/>
      <c r="AI38" s="1496"/>
      <c r="AJ38" s="1496"/>
      <c r="AK38" s="1496"/>
      <c r="AL38" s="1496"/>
      <c r="AM38" s="1496"/>
      <c r="AN38" s="1496"/>
      <c r="AO38" s="1496"/>
      <c r="AP38" s="1549"/>
      <c r="AQ38" s="1496"/>
      <c r="AR38" s="1496"/>
      <c r="AS38" s="1496"/>
      <c r="AT38" s="1496"/>
      <c r="AU38" s="1543"/>
      <c r="AV38" s="1501">
        <v>2</v>
      </c>
      <c r="AW38" s="1501" t="s">
        <v>527</v>
      </c>
      <c r="AX38" s="1506" t="s">
        <v>491</v>
      </c>
      <c r="AY38" s="1502">
        <v>0.25</v>
      </c>
    </row>
    <row r="39" spans="2:51">
      <c r="B39" s="1469">
        <f t="shared" si="22"/>
        <v>2.1</v>
      </c>
      <c r="C39" s="1470" t="str">
        <f t="shared" si="34"/>
        <v>維持管理のしやすさ</v>
      </c>
      <c r="D39" s="1471">
        <f>IF(I$38=0,0,G39/I$38)</f>
        <v>0.65</v>
      </c>
      <c r="E39" s="1471">
        <f>IF(J$38=0,0,H39/J$38)</f>
        <v>0</v>
      </c>
      <c r="F39" s="1534"/>
      <c r="G39" s="1483">
        <f t="shared" si="3"/>
        <v>0.65</v>
      </c>
      <c r="H39" s="1483">
        <f t="shared" si="20"/>
        <v>0</v>
      </c>
      <c r="I39" s="1483"/>
      <c r="J39" s="1483"/>
      <c r="K39" s="1483">
        <f>IF(スコア!O39=0,0,1)</f>
        <v>1</v>
      </c>
      <c r="L39" s="1483">
        <f>IF(スコア!P39=0,0,1)</f>
        <v>1</v>
      </c>
      <c r="M39" s="1483">
        <f t="shared" si="4"/>
        <v>0.65</v>
      </c>
      <c r="N39" s="1483">
        <f t="shared" si="5"/>
        <v>0</v>
      </c>
      <c r="O39" s="1560"/>
      <c r="P39" s="1474">
        <f>IF($P$3=1,AF39,AV39)</f>
        <v>2.1</v>
      </c>
      <c r="Q39" s="1474" t="str">
        <f t="shared" si="35"/>
        <v>1.2.2</v>
      </c>
      <c r="R39" s="1474" t="str">
        <f t="shared" si="33"/>
        <v>維持管理のしやすさ</v>
      </c>
      <c r="S39" s="1567">
        <f t="shared" si="21"/>
        <v>0.65</v>
      </c>
      <c r="T39" s="1567">
        <f>IF($P$3=1,AJ39,AZ39)</f>
        <v>0</v>
      </c>
      <c r="U39" s="1567">
        <f>IF($P$3=1,AK39,BA39)</f>
        <v>0</v>
      </c>
      <c r="V39" s="1567">
        <f t="shared" si="30"/>
        <v>0</v>
      </c>
      <c r="W39" s="1567">
        <f t="shared" si="30"/>
        <v>0</v>
      </c>
      <c r="X39" s="1567">
        <f t="shared" si="30"/>
        <v>0</v>
      </c>
      <c r="Y39" s="1567">
        <f t="shared" si="30"/>
        <v>0</v>
      </c>
      <c r="Z39" s="1569">
        <f t="shared" si="30"/>
        <v>0</v>
      </c>
      <c r="AA39" s="1567">
        <f t="shared" si="30"/>
        <v>0</v>
      </c>
      <c r="AB39" s="1568">
        <f t="shared" si="30"/>
        <v>0</v>
      </c>
      <c r="AC39" s="1567">
        <f t="shared" si="30"/>
        <v>0</v>
      </c>
      <c r="AD39" s="1567">
        <f t="shared" si="30"/>
        <v>0</v>
      </c>
      <c r="AE39" s="1546"/>
      <c r="AF39" s="1492"/>
      <c r="AG39" s="1492"/>
      <c r="AH39" s="1492"/>
      <c r="AI39" s="1496"/>
      <c r="AJ39" s="1496"/>
      <c r="AK39" s="1496"/>
      <c r="AL39" s="1496"/>
      <c r="AM39" s="1496"/>
      <c r="AN39" s="1496"/>
      <c r="AO39" s="1496"/>
      <c r="AP39" s="1549"/>
      <c r="AQ39" s="1496"/>
      <c r="AR39" s="1496"/>
      <c r="AS39" s="1496"/>
      <c r="AT39" s="1496"/>
      <c r="AU39" s="1543"/>
      <c r="AV39" s="1503">
        <v>2.1</v>
      </c>
      <c r="AW39" s="1503" t="s">
        <v>524</v>
      </c>
      <c r="AX39" s="1475" t="s">
        <v>493</v>
      </c>
      <c r="AY39" s="1504">
        <v>0.65</v>
      </c>
    </row>
    <row r="40" spans="2:51">
      <c r="B40" s="1469">
        <f t="shared" si="22"/>
        <v>2.2000000000000002</v>
      </c>
      <c r="C40" s="1470" t="str">
        <f t="shared" si="34"/>
        <v>維持管理の計画・体制</v>
      </c>
      <c r="D40" s="1471">
        <f>IF(I$38=0,0,G40/I$38)</f>
        <v>0.35</v>
      </c>
      <c r="E40" s="1471">
        <f>IF(J$38=0,0,H40/J$38)</f>
        <v>0</v>
      </c>
      <c r="F40" s="1534"/>
      <c r="G40" s="1483">
        <f t="shared" si="3"/>
        <v>0.35</v>
      </c>
      <c r="H40" s="1483">
        <f t="shared" si="20"/>
        <v>0</v>
      </c>
      <c r="I40" s="1483"/>
      <c r="J40" s="1483"/>
      <c r="K40" s="1483">
        <f>IF(スコア!O40=0,0,1)</f>
        <v>1</v>
      </c>
      <c r="L40" s="1483">
        <f>IF(スコア!P40=0,0,1)</f>
        <v>1</v>
      </c>
      <c r="M40" s="1483">
        <f t="shared" si="4"/>
        <v>0.35</v>
      </c>
      <c r="N40" s="1483">
        <f t="shared" si="5"/>
        <v>0</v>
      </c>
      <c r="O40" s="1560"/>
      <c r="P40" s="1474">
        <f t="shared" ref="P40:X45" si="36">IF($P$3=1,AF40,AV40)</f>
        <v>2.2000000000000002</v>
      </c>
      <c r="Q40" s="1474"/>
      <c r="R40" s="1474" t="str">
        <f t="shared" si="36"/>
        <v>維持管理の計画・体制</v>
      </c>
      <c r="S40" s="1567">
        <f t="shared" si="36"/>
        <v>0.35</v>
      </c>
      <c r="T40" s="1567">
        <f t="shared" si="36"/>
        <v>0</v>
      </c>
      <c r="U40" s="1567">
        <f t="shared" si="36"/>
        <v>0</v>
      </c>
      <c r="V40" s="1567">
        <f t="shared" si="30"/>
        <v>0</v>
      </c>
      <c r="W40" s="1567">
        <f t="shared" si="30"/>
        <v>0</v>
      </c>
      <c r="X40" s="1567">
        <f t="shared" si="30"/>
        <v>0</v>
      </c>
      <c r="Y40" s="1567">
        <f t="shared" si="30"/>
        <v>0</v>
      </c>
      <c r="Z40" s="1569">
        <f t="shared" si="30"/>
        <v>0</v>
      </c>
      <c r="AA40" s="1567">
        <f t="shared" si="30"/>
        <v>0</v>
      </c>
      <c r="AB40" s="1568">
        <f t="shared" si="30"/>
        <v>0</v>
      </c>
      <c r="AC40" s="1567">
        <f t="shared" si="30"/>
        <v>0</v>
      </c>
      <c r="AD40" s="1567">
        <f t="shared" si="30"/>
        <v>0</v>
      </c>
      <c r="AE40" s="1546"/>
      <c r="AF40" s="1492"/>
      <c r="AG40" s="1492"/>
      <c r="AH40" s="1492"/>
      <c r="AI40" s="1496"/>
      <c r="AJ40" s="1496"/>
      <c r="AK40" s="1496"/>
      <c r="AL40" s="1496"/>
      <c r="AM40" s="1496"/>
      <c r="AN40" s="1496"/>
      <c r="AO40" s="1496"/>
      <c r="AP40" s="1549"/>
      <c r="AQ40" s="1496"/>
      <c r="AR40" s="1496"/>
      <c r="AS40" s="1496"/>
      <c r="AT40" s="1496"/>
      <c r="AU40" s="1543"/>
      <c r="AV40" s="1503">
        <v>2.2000000000000002</v>
      </c>
      <c r="AW40" s="1503" t="s">
        <v>524</v>
      </c>
      <c r="AX40" s="1475" t="s">
        <v>255</v>
      </c>
      <c r="AY40" s="1504">
        <v>0.35</v>
      </c>
    </row>
    <row r="41" spans="2:51">
      <c r="B41" s="1466">
        <f t="shared" si="22"/>
        <v>3</v>
      </c>
      <c r="C41" s="1467" t="str">
        <f t="shared" si="34"/>
        <v>機能性</v>
      </c>
      <c r="D41" s="1476">
        <f>IF(I$29=0,0,G41/I$29)</f>
        <v>0.25</v>
      </c>
      <c r="E41" s="1476">
        <f>IF(J$29=0,0,H41/J$29)</f>
        <v>0</v>
      </c>
      <c r="F41" s="1559"/>
      <c r="G41" s="1476">
        <f t="shared" si="3"/>
        <v>0.25</v>
      </c>
      <c r="H41" s="1476">
        <f t="shared" si="20"/>
        <v>0</v>
      </c>
      <c r="I41" s="1476">
        <f>G42+G43</f>
        <v>1</v>
      </c>
      <c r="J41" s="1476">
        <f>H42+H43</f>
        <v>0</v>
      </c>
      <c r="K41" s="1476">
        <f>IF(スコア!O41=0,0,1)</f>
        <v>1</v>
      </c>
      <c r="L41" s="1476">
        <f>IF(スコア!P41=0,0,1)</f>
        <v>1</v>
      </c>
      <c r="M41" s="1476">
        <f t="shared" ref="M41:M50" si="37">(S$7*S41)+(T$7*T41)+(U$7*U41)+(V$7*V41)+(W$7*W41)+(X$7*X41)+(Y$7*Y41)+(Z$7*Z41)+(AA$7*AA41)</f>
        <v>0.25</v>
      </c>
      <c r="N41" s="1476">
        <f t="shared" ref="N41:N50" si="38">(AB$7*AB41)+(AC$7*AC41)+(AD$7*AD41)</f>
        <v>0</v>
      </c>
      <c r="O41" s="1560"/>
      <c r="P41" s="1466">
        <f t="shared" si="36"/>
        <v>3</v>
      </c>
      <c r="Q41" s="1474" t="str">
        <f t="shared" si="35"/>
        <v>1.2</v>
      </c>
      <c r="R41" s="1466" t="str">
        <f t="shared" si="36"/>
        <v>機能性</v>
      </c>
      <c r="S41" s="1564">
        <f t="shared" si="36"/>
        <v>0.25</v>
      </c>
      <c r="T41" s="1564">
        <f t="shared" si="36"/>
        <v>0</v>
      </c>
      <c r="U41" s="1564">
        <f t="shared" si="36"/>
        <v>0</v>
      </c>
      <c r="V41" s="1564">
        <f t="shared" si="36"/>
        <v>0</v>
      </c>
      <c r="W41" s="1564">
        <f t="shared" si="36"/>
        <v>0</v>
      </c>
      <c r="X41" s="1564">
        <f t="shared" si="36"/>
        <v>0</v>
      </c>
      <c r="Y41" s="1564">
        <f t="shared" ref="Y41:AD46" si="39">IF($P$3=1,AO41,BE41)</f>
        <v>0</v>
      </c>
      <c r="Z41" s="1580">
        <f t="shared" si="39"/>
        <v>0</v>
      </c>
      <c r="AA41" s="1564">
        <f t="shared" si="39"/>
        <v>0</v>
      </c>
      <c r="AB41" s="1566">
        <f t="shared" si="39"/>
        <v>0</v>
      </c>
      <c r="AC41" s="1564">
        <f t="shared" si="39"/>
        <v>0</v>
      </c>
      <c r="AD41" s="1564">
        <f t="shared" si="39"/>
        <v>0</v>
      </c>
      <c r="AE41" s="1546"/>
      <c r="AF41" s="1492"/>
      <c r="AG41" s="1492"/>
      <c r="AH41" s="1492"/>
      <c r="AI41" s="1496"/>
      <c r="AJ41" s="1496"/>
      <c r="AK41" s="1496"/>
      <c r="AL41" s="1496"/>
      <c r="AM41" s="1496"/>
      <c r="AN41" s="1496"/>
      <c r="AO41" s="1496"/>
      <c r="AP41" s="1549"/>
      <c r="AQ41" s="1496"/>
      <c r="AR41" s="1496"/>
      <c r="AS41" s="1496"/>
      <c r="AT41" s="1496"/>
      <c r="AU41" s="1543"/>
      <c r="AV41" s="1501">
        <v>3</v>
      </c>
      <c r="AW41" s="1501" t="s">
        <v>527</v>
      </c>
      <c r="AX41" s="1506" t="s">
        <v>332</v>
      </c>
      <c r="AY41" s="1508">
        <v>0.25</v>
      </c>
    </row>
    <row r="42" spans="2:51">
      <c r="B42" s="1474">
        <f t="shared" si="22"/>
        <v>3.1</v>
      </c>
      <c r="C42" s="1475" t="str">
        <f t="shared" si="34"/>
        <v>広さと間取り</v>
      </c>
      <c r="D42" s="1471">
        <f>IF(I$41=0,0,G42/I$41)</f>
        <v>0.5</v>
      </c>
      <c r="E42" s="1471">
        <f>IF(J$41=0,0,H42/J$41)</f>
        <v>0</v>
      </c>
      <c r="F42" s="1534"/>
      <c r="G42" s="1483">
        <f t="shared" si="3"/>
        <v>0.5</v>
      </c>
      <c r="H42" s="1483">
        <f t="shared" si="20"/>
        <v>0</v>
      </c>
      <c r="I42" s="1483"/>
      <c r="J42" s="1483"/>
      <c r="K42" s="1483">
        <f>IF(スコア!O42=0,0,1)</f>
        <v>1</v>
      </c>
      <c r="L42" s="1483">
        <f>IF(スコア!P42=0,0,1)</f>
        <v>1</v>
      </c>
      <c r="M42" s="1483">
        <f t="shared" si="37"/>
        <v>0.5</v>
      </c>
      <c r="N42" s="1483">
        <f t="shared" si="38"/>
        <v>0</v>
      </c>
      <c r="O42" s="1581"/>
      <c r="P42" s="1474">
        <f t="shared" si="36"/>
        <v>3.1</v>
      </c>
      <c r="Q42" s="1474" t="str">
        <f t="shared" si="35"/>
        <v>1.2.3</v>
      </c>
      <c r="R42" s="1474" t="str">
        <f t="shared" si="36"/>
        <v>広さと間取り</v>
      </c>
      <c r="S42" s="1567">
        <f t="shared" si="36"/>
        <v>0.5</v>
      </c>
      <c r="T42" s="1567">
        <f t="shared" si="36"/>
        <v>0</v>
      </c>
      <c r="U42" s="1567">
        <f t="shared" si="36"/>
        <v>0</v>
      </c>
      <c r="V42" s="1567">
        <f t="shared" si="36"/>
        <v>0</v>
      </c>
      <c r="W42" s="1567">
        <f t="shared" si="36"/>
        <v>0</v>
      </c>
      <c r="X42" s="1567">
        <f t="shared" si="36"/>
        <v>0</v>
      </c>
      <c r="Y42" s="1567">
        <f t="shared" si="39"/>
        <v>0</v>
      </c>
      <c r="Z42" s="1569">
        <f t="shared" si="39"/>
        <v>0</v>
      </c>
      <c r="AA42" s="1567">
        <f t="shared" si="39"/>
        <v>0</v>
      </c>
      <c r="AB42" s="1568">
        <f t="shared" si="39"/>
        <v>0</v>
      </c>
      <c r="AC42" s="1567">
        <f t="shared" si="39"/>
        <v>0</v>
      </c>
      <c r="AD42" s="1567">
        <f t="shared" si="39"/>
        <v>0</v>
      </c>
      <c r="AE42" s="1546"/>
      <c r="AF42" s="1492"/>
      <c r="AG42" s="1492"/>
      <c r="AH42" s="1492"/>
      <c r="AI42" s="1496"/>
      <c r="AJ42" s="1496"/>
      <c r="AK42" s="1496"/>
      <c r="AL42" s="1496"/>
      <c r="AM42" s="1496"/>
      <c r="AN42" s="1496"/>
      <c r="AO42" s="1496"/>
      <c r="AP42" s="1549"/>
      <c r="AQ42" s="1496"/>
      <c r="AR42" s="1496"/>
      <c r="AS42" s="1496"/>
      <c r="AT42" s="1496"/>
      <c r="AU42" s="1543"/>
      <c r="AV42" s="1503">
        <v>3.1</v>
      </c>
      <c r="AW42" s="1503" t="s">
        <v>530</v>
      </c>
      <c r="AX42" s="1475" t="s">
        <v>495</v>
      </c>
      <c r="AY42" s="1504">
        <v>0.5</v>
      </c>
    </row>
    <row r="43" spans="2:51">
      <c r="B43" s="1469">
        <f t="shared" si="22"/>
        <v>3.2</v>
      </c>
      <c r="C43" s="1470" t="str">
        <f t="shared" si="34"/>
        <v>バリアフリー対応</v>
      </c>
      <c r="D43" s="1471">
        <f>IF(I$41=0,0,G43/I$41)</f>
        <v>0.5</v>
      </c>
      <c r="E43" s="1471">
        <f>IF(J$41=0,0,H43/J$41)</f>
        <v>0</v>
      </c>
      <c r="F43" s="1534"/>
      <c r="G43" s="1483">
        <f t="shared" si="3"/>
        <v>0.5</v>
      </c>
      <c r="H43" s="1483">
        <f t="shared" si="20"/>
        <v>0</v>
      </c>
      <c r="I43" s="1483"/>
      <c r="J43" s="1483"/>
      <c r="K43" s="1483">
        <f>IF(スコア!O43=0,0,1)</f>
        <v>1</v>
      </c>
      <c r="L43" s="1483">
        <f>IF(スコア!P43=0,0,1)</f>
        <v>1</v>
      </c>
      <c r="M43" s="1483">
        <f t="shared" si="37"/>
        <v>0.5</v>
      </c>
      <c r="N43" s="1483">
        <f t="shared" si="38"/>
        <v>0</v>
      </c>
      <c r="O43" s="1581"/>
      <c r="P43" s="1474">
        <f t="shared" si="36"/>
        <v>3.2</v>
      </c>
      <c r="Q43" s="1474" t="str">
        <f t="shared" si="35"/>
        <v>1.2.3</v>
      </c>
      <c r="R43" s="1474" t="str">
        <f t="shared" si="36"/>
        <v>バリアフリー対応</v>
      </c>
      <c r="S43" s="1567">
        <f t="shared" si="36"/>
        <v>0.5</v>
      </c>
      <c r="T43" s="1567">
        <f t="shared" si="36"/>
        <v>0</v>
      </c>
      <c r="U43" s="1567">
        <f t="shared" si="36"/>
        <v>0</v>
      </c>
      <c r="V43" s="1567">
        <f t="shared" si="36"/>
        <v>0</v>
      </c>
      <c r="W43" s="1567">
        <f t="shared" si="36"/>
        <v>0</v>
      </c>
      <c r="X43" s="1567">
        <f t="shared" si="36"/>
        <v>0</v>
      </c>
      <c r="Y43" s="1567">
        <f t="shared" si="39"/>
        <v>0</v>
      </c>
      <c r="Z43" s="1569">
        <f t="shared" si="39"/>
        <v>0</v>
      </c>
      <c r="AA43" s="1567">
        <f t="shared" si="39"/>
        <v>0</v>
      </c>
      <c r="AB43" s="1568">
        <f t="shared" si="39"/>
        <v>0</v>
      </c>
      <c r="AC43" s="1567">
        <f t="shared" si="39"/>
        <v>0</v>
      </c>
      <c r="AD43" s="1567">
        <f t="shared" si="39"/>
        <v>0</v>
      </c>
      <c r="AE43" s="1546"/>
      <c r="AF43" s="1492"/>
      <c r="AG43" s="1492"/>
      <c r="AH43" s="1492"/>
      <c r="AI43" s="1496"/>
      <c r="AJ43" s="1496"/>
      <c r="AK43" s="1496"/>
      <c r="AL43" s="1496"/>
      <c r="AM43" s="1496"/>
      <c r="AN43" s="1496"/>
      <c r="AO43" s="1496"/>
      <c r="AP43" s="1549"/>
      <c r="AQ43" s="1496"/>
      <c r="AR43" s="1496"/>
      <c r="AS43" s="1496"/>
      <c r="AT43" s="1496"/>
      <c r="AU43" s="1543"/>
      <c r="AV43" s="1503">
        <v>3.2</v>
      </c>
      <c r="AW43" s="1503" t="s">
        <v>530</v>
      </c>
      <c r="AX43" s="1470" t="s">
        <v>496</v>
      </c>
      <c r="AY43" s="1504">
        <v>0.5</v>
      </c>
    </row>
    <row r="44" spans="2:51">
      <c r="B44" s="1463" t="s">
        <v>424</v>
      </c>
      <c r="C44" s="1464" t="str">
        <f t="shared" si="34"/>
        <v>まちなみ・生態系を豊かにする</v>
      </c>
      <c r="D44" s="1465">
        <f>IF(I$8=0,0,G44/I$8)</f>
        <v>0.25</v>
      </c>
      <c r="E44" s="1465">
        <f>IF(J$8=0,0,H44/J$8)</f>
        <v>0</v>
      </c>
      <c r="F44" s="1576"/>
      <c r="G44" s="1482">
        <f t="shared" si="3"/>
        <v>0.25</v>
      </c>
      <c r="H44" s="1482">
        <f t="shared" si="20"/>
        <v>0</v>
      </c>
      <c r="I44" s="1482">
        <f>G45+G46+G49+G50</f>
        <v>1</v>
      </c>
      <c r="J44" s="1482">
        <f>H45+H46+H49</f>
        <v>0</v>
      </c>
      <c r="K44" s="1482">
        <f>IF(スコア!S44=0,0,1)</f>
        <v>1</v>
      </c>
      <c r="L44" s="1482">
        <f>IF(スコア!T44=0,0,1)</f>
        <v>0</v>
      </c>
      <c r="M44" s="1482">
        <f t="shared" si="37"/>
        <v>0.25</v>
      </c>
      <c r="N44" s="1482">
        <f t="shared" si="38"/>
        <v>0</v>
      </c>
      <c r="O44" s="1582"/>
      <c r="P44" s="1561" t="str">
        <f t="shared" si="36"/>
        <v>QH3</v>
      </c>
      <c r="Q44" s="1561" t="str">
        <f t="shared" si="35"/>
        <v>1</v>
      </c>
      <c r="R44" s="1561" t="str">
        <f t="shared" si="36"/>
        <v>まちなみ・生態系を豊かにする</v>
      </c>
      <c r="S44" s="1562">
        <f t="shared" si="36"/>
        <v>0.25</v>
      </c>
      <c r="T44" s="1562">
        <f t="shared" si="36"/>
        <v>0</v>
      </c>
      <c r="U44" s="1562">
        <f t="shared" si="36"/>
        <v>0</v>
      </c>
      <c r="V44" s="1562">
        <f t="shared" si="36"/>
        <v>0</v>
      </c>
      <c r="W44" s="1562">
        <f t="shared" si="36"/>
        <v>0</v>
      </c>
      <c r="X44" s="1562">
        <f t="shared" si="36"/>
        <v>0</v>
      </c>
      <c r="Y44" s="1562">
        <f t="shared" si="39"/>
        <v>0</v>
      </c>
      <c r="Z44" s="1562">
        <f t="shared" si="39"/>
        <v>0</v>
      </c>
      <c r="AA44" s="1562">
        <f t="shared" si="39"/>
        <v>0</v>
      </c>
      <c r="AB44" s="1563">
        <f t="shared" si="39"/>
        <v>0</v>
      </c>
      <c r="AC44" s="1562">
        <f t="shared" si="39"/>
        <v>0</v>
      </c>
      <c r="AD44" s="1562">
        <f t="shared" si="39"/>
        <v>0</v>
      </c>
      <c r="AE44" s="1572"/>
      <c r="AF44" s="1497"/>
      <c r="AG44" s="1497"/>
      <c r="AH44" s="1497"/>
      <c r="AI44" s="1573"/>
      <c r="AJ44" s="1573"/>
      <c r="AK44" s="1573"/>
      <c r="AL44" s="1573"/>
      <c r="AM44" s="1573"/>
      <c r="AN44" s="1573"/>
      <c r="AO44" s="1573"/>
      <c r="AP44" s="1574"/>
      <c r="AQ44" s="1573"/>
      <c r="AR44" s="1573"/>
      <c r="AS44" s="1573"/>
      <c r="AT44" s="1573"/>
      <c r="AU44" s="1575"/>
      <c r="AV44" s="1463" t="s">
        <v>424</v>
      </c>
      <c r="AW44" s="1463" t="s">
        <v>519</v>
      </c>
      <c r="AX44" s="1464" t="s">
        <v>497</v>
      </c>
      <c r="AY44" s="1500">
        <v>0.25</v>
      </c>
    </row>
    <row r="45" spans="2:51">
      <c r="B45" s="1466">
        <f t="shared" si="22"/>
        <v>1</v>
      </c>
      <c r="C45" s="1467" t="str">
        <f t="shared" si="34"/>
        <v>まちなみ・景観への配慮</v>
      </c>
      <c r="D45" s="1468">
        <f>IF(I$44=0,0,G45/I$44)</f>
        <v>0.3</v>
      </c>
      <c r="E45" s="1468">
        <f>IF(J$44=0,0,H45/J$44)</f>
        <v>0</v>
      </c>
      <c r="F45" s="1559"/>
      <c r="G45" s="1476">
        <f t="shared" si="3"/>
        <v>0.3</v>
      </c>
      <c r="H45" s="1476">
        <f t="shared" si="20"/>
        <v>0</v>
      </c>
      <c r="I45" s="1476"/>
      <c r="J45" s="1476"/>
      <c r="K45" s="1476">
        <f>IF(スコア!O45=0,0,1)</f>
        <v>1</v>
      </c>
      <c r="L45" s="1476">
        <f>IF(スコア!P45=0,0,1)</f>
        <v>1</v>
      </c>
      <c r="M45" s="1476">
        <f t="shared" si="37"/>
        <v>0.3</v>
      </c>
      <c r="N45" s="1476">
        <f t="shared" si="38"/>
        <v>0</v>
      </c>
      <c r="O45" s="1583"/>
      <c r="P45" s="1466">
        <f t="shared" si="36"/>
        <v>1</v>
      </c>
      <c r="Q45" s="1584" t="str">
        <f t="shared" si="35"/>
        <v>1.3</v>
      </c>
      <c r="R45" s="1466" t="str">
        <f t="shared" ref="R45:R51" si="40">IF($P$3=1,AH45,AX45)</f>
        <v>まちなみ・景観への配慮</v>
      </c>
      <c r="S45" s="1564">
        <f t="shared" si="36"/>
        <v>0.3</v>
      </c>
      <c r="T45" s="1564">
        <f t="shared" ref="T45:X46" si="41">IF($P$3=1,AJ45,AZ45)</f>
        <v>0</v>
      </c>
      <c r="U45" s="1564">
        <f t="shared" si="41"/>
        <v>0</v>
      </c>
      <c r="V45" s="1564">
        <f t="shared" si="41"/>
        <v>0</v>
      </c>
      <c r="W45" s="1564">
        <f t="shared" si="41"/>
        <v>0</v>
      </c>
      <c r="X45" s="1564">
        <f t="shared" si="41"/>
        <v>0</v>
      </c>
      <c r="Y45" s="1564">
        <f t="shared" si="39"/>
        <v>0</v>
      </c>
      <c r="Z45" s="1580">
        <f t="shared" si="39"/>
        <v>0</v>
      </c>
      <c r="AA45" s="1564">
        <f t="shared" si="39"/>
        <v>0</v>
      </c>
      <c r="AB45" s="1566">
        <f t="shared" si="39"/>
        <v>0</v>
      </c>
      <c r="AC45" s="1564">
        <f t="shared" si="39"/>
        <v>0</v>
      </c>
      <c r="AD45" s="1564">
        <f t="shared" si="39"/>
        <v>0</v>
      </c>
      <c r="AE45" s="1546"/>
      <c r="AF45" s="1492"/>
      <c r="AG45" s="1492"/>
      <c r="AH45" s="1492"/>
      <c r="AI45" s="1496"/>
      <c r="AJ45" s="1496"/>
      <c r="AK45" s="1496"/>
      <c r="AL45" s="1496"/>
      <c r="AM45" s="1496"/>
      <c r="AN45" s="1496"/>
      <c r="AO45" s="1496"/>
      <c r="AP45" s="1549"/>
      <c r="AQ45" s="1496"/>
      <c r="AR45" s="1496"/>
      <c r="AS45" s="1496"/>
      <c r="AT45" s="1496"/>
      <c r="AU45" s="1543"/>
      <c r="AV45" s="1501">
        <v>1</v>
      </c>
      <c r="AW45" s="1501" t="s">
        <v>44</v>
      </c>
      <c r="AX45" s="1506" t="s">
        <v>330</v>
      </c>
      <c r="AY45" s="1508">
        <v>0.3</v>
      </c>
    </row>
    <row r="46" spans="2:51">
      <c r="B46" s="1466">
        <f t="shared" si="22"/>
        <v>2</v>
      </c>
      <c r="C46" s="1467" t="str">
        <f t="shared" si="34"/>
        <v>生物環境の創出</v>
      </c>
      <c r="D46" s="1468">
        <f>IF(I$44=0,0,G46/I$44)</f>
        <v>0.3</v>
      </c>
      <c r="E46" s="1468">
        <f>IF(J$44=0,0,H46/J$44)</f>
        <v>0</v>
      </c>
      <c r="F46" s="1559"/>
      <c r="G46" s="1476">
        <f t="shared" si="3"/>
        <v>0.3</v>
      </c>
      <c r="H46" s="1476">
        <f t="shared" si="20"/>
        <v>0</v>
      </c>
      <c r="I46" s="1585">
        <f>SUM(G47:G48)</f>
        <v>1</v>
      </c>
      <c r="J46" s="1585">
        <f>SUM(H47:H48)</f>
        <v>0</v>
      </c>
      <c r="K46" s="1476">
        <f>IF(スコア!O46=0,0,1)</f>
        <v>1</v>
      </c>
      <c r="L46" s="1476">
        <f>IF(スコア!P46=0,0,1)</f>
        <v>1</v>
      </c>
      <c r="M46" s="1476">
        <f t="shared" si="37"/>
        <v>0.3</v>
      </c>
      <c r="N46" s="1476">
        <f t="shared" si="38"/>
        <v>0</v>
      </c>
      <c r="O46" s="1583"/>
      <c r="P46" s="1466">
        <f t="shared" ref="P46:P51" si="42">IF($P$3=1,AF46,AV46)</f>
        <v>2</v>
      </c>
      <c r="Q46" s="1466" t="str">
        <f t="shared" si="35"/>
        <v>1.3</v>
      </c>
      <c r="R46" s="1466" t="str">
        <f t="shared" si="40"/>
        <v>生物環境の創出</v>
      </c>
      <c r="S46" s="1564">
        <f t="shared" ref="S46:S54" si="43">IF($P$3=1,AI46,AY46)</f>
        <v>0.3</v>
      </c>
      <c r="T46" s="1564">
        <f t="shared" si="41"/>
        <v>0</v>
      </c>
      <c r="U46" s="1564">
        <f t="shared" si="41"/>
        <v>0</v>
      </c>
      <c r="V46" s="1564">
        <f t="shared" si="41"/>
        <v>0</v>
      </c>
      <c r="W46" s="1564">
        <f t="shared" si="41"/>
        <v>0</v>
      </c>
      <c r="X46" s="1564">
        <f t="shared" si="41"/>
        <v>0</v>
      </c>
      <c r="Y46" s="1564">
        <f t="shared" si="39"/>
        <v>0</v>
      </c>
      <c r="Z46" s="1580">
        <f t="shared" si="39"/>
        <v>0</v>
      </c>
      <c r="AA46" s="1564">
        <f t="shared" si="39"/>
        <v>0</v>
      </c>
      <c r="AB46" s="1566">
        <f t="shared" si="39"/>
        <v>0</v>
      </c>
      <c r="AC46" s="1564">
        <f t="shared" si="39"/>
        <v>0</v>
      </c>
      <c r="AD46" s="1564">
        <f t="shared" si="39"/>
        <v>0</v>
      </c>
      <c r="AE46" s="1546"/>
      <c r="AF46" s="1492"/>
      <c r="AG46" s="1492"/>
      <c r="AH46" s="1492"/>
      <c r="AI46" s="1496"/>
      <c r="AJ46" s="1496"/>
      <c r="AK46" s="1496"/>
      <c r="AL46" s="1496"/>
      <c r="AM46" s="1496"/>
      <c r="AN46" s="1496"/>
      <c r="AO46" s="1496"/>
      <c r="AP46" s="1549"/>
      <c r="AQ46" s="1496"/>
      <c r="AR46" s="1496"/>
      <c r="AS46" s="1496"/>
      <c r="AT46" s="1496"/>
      <c r="AU46" s="1543"/>
      <c r="AV46" s="1501">
        <v>2</v>
      </c>
      <c r="AW46" s="1501" t="s">
        <v>44</v>
      </c>
      <c r="AX46" s="1506" t="s">
        <v>425</v>
      </c>
      <c r="AY46" s="1508">
        <v>0.3</v>
      </c>
    </row>
    <row r="47" spans="2:51">
      <c r="B47" s="1474">
        <f t="shared" si="22"/>
        <v>2.1</v>
      </c>
      <c r="C47" s="1475" t="str">
        <f t="shared" si="34"/>
        <v>敷地内の緑化</v>
      </c>
      <c r="D47" s="1471">
        <f>IF(I$46=0,0,G47/I$46)</f>
        <v>0.65</v>
      </c>
      <c r="E47" s="1471">
        <f>IF(J$46=0,0,H47/J$46)</f>
        <v>0</v>
      </c>
      <c r="F47" s="1534"/>
      <c r="G47" s="1483">
        <f t="shared" si="3"/>
        <v>0.65</v>
      </c>
      <c r="H47" s="1483">
        <f t="shared" si="20"/>
        <v>0</v>
      </c>
      <c r="I47" s="1483"/>
      <c r="J47" s="1483"/>
      <c r="K47" s="1483">
        <f>IF(スコア!O47=0,0,1)</f>
        <v>1</v>
      </c>
      <c r="L47" s="1483">
        <f>IF(スコア!P47=0,0,1)</f>
        <v>1</v>
      </c>
      <c r="M47" s="1483">
        <f t="shared" si="37"/>
        <v>0.65</v>
      </c>
      <c r="N47" s="1483">
        <f t="shared" si="38"/>
        <v>0</v>
      </c>
      <c r="O47" s="1586"/>
      <c r="P47" s="1474">
        <f t="shared" si="42"/>
        <v>2.1</v>
      </c>
      <c r="Q47" s="1474" t="str">
        <f t="shared" si="35"/>
        <v>1.3.2</v>
      </c>
      <c r="R47" s="1474" t="str">
        <f t="shared" si="40"/>
        <v>敷地内の緑化</v>
      </c>
      <c r="S47" s="1587">
        <f t="shared" si="43"/>
        <v>0.65</v>
      </c>
      <c r="T47" s="1587"/>
      <c r="U47" s="1587"/>
      <c r="V47" s="1587"/>
      <c r="W47" s="1587"/>
      <c r="X47" s="1587"/>
      <c r="Y47" s="1587"/>
      <c r="Z47" s="1588"/>
      <c r="AA47" s="1587"/>
      <c r="AB47" s="1589"/>
      <c r="AC47" s="1587"/>
      <c r="AD47" s="1587"/>
      <c r="AE47" s="1546"/>
      <c r="AF47" s="1492"/>
      <c r="AG47" s="1492"/>
      <c r="AH47" s="1492"/>
      <c r="AI47" s="1496"/>
      <c r="AJ47" s="1496"/>
      <c r="AK47" s="1496"/>
      <c r="AL47" s="1496"/>
      <c r="AM47" s="1496"/>
      <c r="AN47" s="1496"/>
      <c r="AO47" s="1496"/>
      <c r="AP47" s="1549"/>
      <c r="AQ47" s="1496"/>
      <c r="AR47" s="1496"/>
      <c r="AS47" s="1496"/>
      <c r="AT47" s="1496"/>
      <c r="AU47" s="1543"/>
      <c r="AV47" s="1503">
        <v>2.1</v>
      </c>
      <c r="AW47" s="1503" t="s">
        <v>45</v>
      </c>
      <c r="AX47" s="1470" t="s">
        <v>499</v>
      </c>
      <c r="AY47" s="1504">
        <v>0.65</v>
      </c>
    </row>
    <row r="48" spans="2:51">
      <c r="B48" s="1469">
        <f t="shared" si="22"/>
        <v>2.2000000000000002</v>
      </c>
      <c r="C48" s="1470" t="str">
        <f t="shared" si="34"/>
        <v>生物の生息環境の確保</v>
      </c>
      <c r="D48" s="1471">
        <f>IF(I$46=0,0,G48/I$46)</f>
        <v>0.35</v>
      </c>
      <c r="E48" s="1471">
        <f>IF(J$46=0,0,H48/J$46)</f>
        <v>0</v>
      </c>
      <c r="F48" s="1534"/>
      <c r="G48" s="1483">
        <f t="shared" si="3"/>
        <v>0.35</v>
      </c>
      <c r="H48" s="1483">
        <f t="shared" si="20"/>
        <v>0</v>
      </c>
      <c r="I48" s="1483"/>
      <c r="J48" s="1483"/>
      <c r="K48" s="1483">
        <f>IF(スコア!O48=0,0,1)</f>
        <v>1</v>
      </c>
      <c r="L48" s="1483">
        <f>IF(スコア!P48=0,0,1)</f>
        <v>1</v>
      </c>
      <c r="M48" s="1483">
        <f t="shared" si="37"/>
        <v>0.35</v>
      </c>
      <c r="N48" s="1483">
        <f t="shared" si="38"/>
        <v>0</v>
      </c>
      <c r="O48" s="1586"/>
      <c r="P48" s="1474">
        <f t="shared" si="42"/>
        <v>2.2000000000000002</v>
      </c>
      <c r="Q48" s="1474" t="str">
        <f t="shared" si="35"/>
        <v>1.3.2</v>
      </c>
      <c r="R48" s="1474" t="str">
        <f t="shared" si="40"/>
        <v>生物の生息環境の確保</v>
      </c>
      <c r="S48" s="1587">
        <f t="shared" si="43"/>
        <v>0.35</v>
      </c>
      <c r="T48" s="1587"/>
      <c r="U48" s="1587"/>
      <c r="V48" s="1587"/>
      <c r="W48" s="1587"/>
      <c r="X48" s="1587"/>
      <c r="Y48" s="1587"/>
      <c r="Z48" s="1588"/>
      <c r="AA48" s="1587"/>
      <c r="AB48" s="1589"/>
      <c r="AC48" s="1587"/>
      <c r="AD48" s="1587"/>
      <c r="AE48" s="1546"/>
      <c r="AF48" s="1492"/>
      <c r="AG48" s="1492"/>
      <c r="AH48" s="1492"/>
      <c r="AI48" s="1496"/>
      <c r="AJ48" s="1496"/>
      <c r="AK48" s="1496"/>
      <c r="AL48" s="1496"/>
      <c r="AM48" s="1496"/>
      <c r="AN48" s="1496"/>
      <c r="AO48" s="1496"/>
      <c r="AP48" s="1549"/>
      <c r="AQ48" s="1496"/>
      <c r="AR48" s="1496"/>
      <c r="AS48" s="1496"/>
      <c r="AT48" s="1496"/>
      <c r="AU48" s="1543"/>
      <c r="AV48" s="1503">
        <v>2.2000000000000002</v>
      </c>
      <c r="AW48" s="1503" t="s">
        <v>45</v>
      </c>
      <c r="AX48" s="1470" t="s">
        <v>500</v>
      </c>
      <c r="AY48" s="1504">
        <v>0.35</v>
      </c>
    </row>
    <row r="49" spans="2:51">
      <c r="B49" s="1466">
        <f t="shared" si="22"/>
        <v>3</v>
      </c>
      <c r="C49" s="1467" t="str">
        <f t="shared" si="34"/>
        <v>地域の安全・安心</v>
      </c>
      <c r="D49" s="1468">
        <f>IF(I$44=0,0,G49/I$44)</f>
        <v>0.2</v>
      </c>
      <c r="E49" s="1468">
        <f>IF(J$44=0,0,H49/J$44)</f>
        <v>0</v>
      </c>
      <c r="F49" s="1559"/>
      <c r="G49" s="1476">
        <f t="shared" si="3"/>
        <v>0.2</v>
      </c>
      <c r="H49" s="1476">
        <f t="shared" si="20"/>
        <v>0</v>
      </c>
      <c r="I49" s="1585"/>
      <c r="J49" s="1585"/>
      <c r="K49" s="1476">
        <f>IF(スコア!O49=0,0,1)</f>
        <v>1</v>
      </c>
      <c r="L49" s="1476">
        <f>IF(スコア!P49=0,0,1)</f>
        <v>1</v>
      </c>
      <c r="M49" s="1476">
        <f t="shared" si="37"/>
        <v>0.2</v>
      </c>
      <c r="N49" s="1476">
        <f t="shared" si="38"/>
        <v>0</v>
      </c>
      <c r="O49" s="1583"/>
      <c r="P49" s="1466">
        <f t="shared" si="42"/>
        <v>3</v>
      </c>
      <c r="Q49" s="1466" t="str">
        <f t="shared" si="35"/>
        <v>1.3</v>
      </c>
      <c r="R49" s="1466" t="str">
        <f t="shared" si="40"/>
        <v>地域の安全・安心</v>
      </c>
      <c r="S49" s="1564">
        <f t="shared" si="43"/>
        <v>0.2</v>
      </c>
      <c r="T49" s="1564">
        <f t="shared" ref="T49:AD49" si="44">IF($P$3=1,AJ49,AZ49)</f>
        <v>0</v>
      </c>
      <c r="U49" s="1564">
        <f t="shared" si="44"/>
        <v>0</v>
      </c>
      <c r="V49" s="1564">
        <f t="shared" si="44"/>
        <v>0</v>
      </c>
      <c r="W49" s="1564">
        <f t="shared" si="44"/>
        <v>0</v>
      </c>
      <c r="X49" s="1564">
        <f t="shared" si="44"/>
        <v>0</v>
      </c>
      <c r="Y49" s="1564">
        <f t="shared" si="44"/>
        <v>0</v>
      </c>
      <c r="Z49" s="1580">
        <f t="shared" si="44"/>
        <v>0</v>
      </c>
      <c r="AA49" s="1564">
        <f t="shared" si="44"/>
        <v>0</v>
      </c>
      <c r="AB49" s="1566">
        <f t="shared" si="44"/>
        <v>0</v>
      </c>
      <c r="AC49" s="1564">
        <f t="shared" si="44"/>
        <v>0</v>
      </c>
      <c r="AD49" s="1564">
        <f t="shared" si="44"/>
        <v>0</v>
      </c>
      <c r="AE49" s="1546"/>
      <c r="AF49" s="1492"/>
      <c r="AG49" s="1492"/>
      <c r="AH49" s="1492"/>
      <c r="AI49" s="1496"/>
      <c r="AJ49" s="1496"/>
      <c r="AK49" s="1496"/>
      <c r="AL49" s="1496"/>
      <c r="AM49" s="1496"/>
      <c r="AN49" s="1496"/>
      <c r="AO49" s="1496"/>
      <c r="AP49" s="1549"/>
      <c r="AQ49" s="1496"/>
      <c r="AR49" s="1496"/>
      <c r="AS49" s="1496"/>
      <c r="AT49" s="1496"/>
      <c r="AU49" s="1543"/>
      <c r="AV49" s="1501">
        <v>3</v>
      </c>
      <c r="AW49" s="1501" t="s">
        <v>44</v>
      </c>
      <c r="AX49" s="1506" t="s">
        <v>498</v>
      </c>
      <c r="AY49" s="1508">
        <v>0.2</v>
      </c>
    </row>
    <row r="50" spans="2:51">
      <c r="B50" s="1466">
        <f t="shared" si="22"/>
        <v>4</v>
      </c>
      <c r="C50" s="1467" t="str">
        <f t="shared" si="34"/>
        <v>地域の資源の活用と住文化の継承</v>
      </c>
      <c r="D50" s="1468">
        <f>IF(I$44=0,0,G50/I$44)</f>
        <v>0.2</v>
      </c>
      <c r="E50" s="1468">
        <f>IF(J$44=0,0,H50/J$44)</f>
        <v>0</v>
      </c>
      <c r="F50" s="1559"/>
      <c r="G50" s="1476">
        <f t="shared" si="3"/>
        <v>0.2</v>
      </c>
      <c r="H50" s="1476">
        <f t="shared" si="20"/>
        <v>0</v>
      </c>
      <c r="I50" s="1476"/>
      <c r="J50" s="1476"/>
      <c r="K50" s="1476">
        <f>IF(スコア!O50=0,0,1)</f>
        <v>1</v>
      </c>
      <c r="L50" s="1476">
        <f>IF(スコア!P50=0,0,1)</f>
        <v>1</v>
      </c>
      <c r="M50" s="1476">
        <f t="shared" si="37"/>
        <v>0.2</v>
      </c>
      <c r="N50" s="1476">
        <f t="shared" si="38"/>
        <v>0</v>
      </c>
      <c r="O50" s="1583"/>
      <c r="P50" s="1466">
        <f t="shared" si="42"/>
        <v>4</v>
      </c>
      <c r="Q50" s="1466" t="str">
        <f>IF($P$3=1,AG50,AW50)</f>
        <v>1.3</v>
      </c>
      <c r="R50" s="1466" t="str">
        <f t="shared" si="40"/>
        <v>地域の資源の活用と住文化の継承</v>
      </c>
      <c r="S50" s="1564">
        <f t="shared" si="43"/>
        <v>0.2</v>
      </c>
      <c r="T50" s="1564"/>
      <c r="U50" s="1564"/>
      <c r="V50" s="1564"/>
      <c r="W50" s="1564"/>
      <c r="X50" s="1564"/>
      <c r="Y50" s="1564"/>
      <c r="Z50" s="1580"/>
      <c r="AA50" s="1564"/>
      <c r="AB50" s="1566"/>
      <c r="AC50" s="1564"/>
      <c r="AD50" s="1564"/>
      <c r="AE50" s="1572"/>
      <c r="AF50" s="1497"/>
      <c r="AG50" s="1497"/>
      <c r="AH50" s="1497"/>
      <c r="AI50" s="1573"/>
      <c r="AJ50" s="1573"/>
      <c r="AK50" s="1573"/>
      <c r="AL50" s="1573"/>
      <c r="AM50" s="1573"/>
      <c r="AN50" s="1573"/>
      <c r="AO50" s="1573"/>
      <c r="AP50" s="1574"/>
      <c r="AQ50" s="1573"/>
      <c r="AR50" s="1573"/>
      <c r="AS50" s="1573"/>
      <c r="AT50" s="1573"/>
      <c r="AU50" s="1575"/>
      <c r="AV50" s="1501">
        <v>4</v>
      </c>
      <c r="AW50" s="1501" t="s">
        <v>44</v>
      </c>
      <c r="AX50" s="1506" t="s">
        <v>713</v>
      </c>
      <c r="AY50" s="1502">
        <v>0.2</v>
      </c>
    </row>
    <row r="51" spans="2:51" ht="16.5">
      <c r="B51" s="1460" t="s">
        <v>420</v>
      </c>
      <c r="C51" s="1461" t="str">
        <f t="shared" si="34"/>
        <v>すまいの環境負荷低減性</v>
      </c>
      <c r="D51" s="1462"/>
      <c r="E51" s="1462"/>
      <c r="F51" s="824"/>
      <c r="G51" s="1481"/>
      <c r="H51" s="1481"/>
      <c r="I51" s="1481" t="e">
        <f>G52+G62+G79</f>
        <v>#VALUE!</v>
      </c>
      <c r="J51" s="1481">
        <f>H52+H62+H79</f>
        <v>0</v>
      </c>
      <c r="K51" s="1481"/>
      <c r="L51" s="1481"/>
      <c r="M51" s="1481"/>
      <c r="N51" s="1481"/>
      <c r="O51" s="1550"/>
      <c r="P51" s="1551" t="str">
        <f t="shared" si="42"/>
        <v>LRH</v>
      </c>
      <c r="Q51" s="1590"/>
      <c r="R51" s="1590" t="str">
        <f t="shared" si="40"/>
        <v>すまいの環境負荷低減性</v>
      </c>
      <c r="S51" s="1591"/>
      <c r="T51" s="1591"/>
      <c r="U51" s="1591"/>
      <c r="V51" s="1591"/>
      <c r="W51" s="1591"/>
      <c r="X51" s="1591"/>
      <c r="Y51" s="1591"/>
      <c r="Z51" s="1592"/>
      <c r="AA51" s="1591"/>
      <c r="AB51" s="1593"/>
      <c r="AC51" s="1510"/>
      <c r="AD51" s="1510"/>
      <c r="AE51" s="1556"/>
      <c r="AF51" s="1492"/>
      <c r="AG51" s="1492"/>
      <c r="AH51" s="1492"/>
      <c r="AI51" s="1557"/>
      <c r="AJ51" s="1557"/>
      <c r="AK51" s="1557"/>
      <c r="AL51" s="1557"/>
      <c r="AM51" s="1557"/>
      <c r="AN51" s="1557"/>
      <c r="AO51" s="1557"/>
      <c r="AP51" s="1558"/>
      <c r="AQ51" s="1557"/>
      <c r="AR51" s="1557"/>
      <c r="AS51" s="1557"/>
      <c r="AT51" s="1557"/>
      <c r="AU51" s="1543"/>
      <c r="AV51" s="1460" t="s">
        <v>420</v>
      </c>
      <c r="AW51" s="1497"/>
      <c r="AX51" s="1509" t="s">
        <v>691</v>
      </c>
      <c r="AY51" s="1510"/>
    </row>
    <row r="52" spans="2:51">
      <c r="B52" s="1463" t="s">
        <v>426</v>
      </c>
      <c r="C52" s="1464" t="str">
        <f t="shared" si="34"/>
        <v>エネルギーと水を大切に使う</v>
      </c>
      <c r="D52" s="1477" t="e">
        <f>IF(I$51=0,0,G52/I$51)</f>
        <v>#VALUE!</v>
      </c>
      <c r="E52" s="1477">
        <f>IF(J$51=0,0,H52/J$51)</f>
        <v>0</v>
      </c>
      <c r="F52" s="1559"/>
      <c r="G52" s="1482">
        <f>K52*((S$7*S52)+(T$7*T52)+(U$7*U52)+(V$7*V52)+(W$7*W52)+(X$7*X52)+(Y$7*Y52)+(Z$7*Z52)+(AA$7*AA52))</f>
        <v>0.35</v>
      </c>
      <c r="H52" s="1482">
        <f t="shared" ref="H52:H64" si="45">L52*((AB$7*AB52)+(AC$7*AC52)+(AD$7*AD52))</f>
        <v>0</v>
      </c>
      <c r="I52" s="1482">
        <f>G53+G56+G59</f>
        <v>1</v>
      </c>
      <c r="J52" s="1482">
        <f>H53+H56+H59</f>
        <v>0</v>
      </c>
      <c r="K52" s="1482">
        <f>IF(スコア!S52=0,0,1)</f>
        <v>1</v>
      </c>
      <c r="L52" s="1482">
        <f>IF(スコア!T52=0,0,1)</f>
        <v>0</v>
      </c>
      <c r="M52" s="1482">
        <f>(S$7*S52)+(T$7*T52)+(U$7*U52)+(V$7*V52)+(W$7*W52)+(X$7*X52)+(Y$7*Y52)+(Z$7*Z52)+(AA$7*AA52)</f>
        <v>0.35</v>
      </c>
      <c r="N52" s="1482">
        <f>(AB$7*AB52)+(AC$7*AC52)+(AD$7*AD52)</f>
        <v>0</v>
      </c>
      <c r="O52" s="1582"/>
      <c r="P52" s="1561" t="str">
        <f>IF($P$3=1,AF52,AV52)</f>
        <v>LRH1</v>
      </c>
      <c r="Q52" s="1561" t="str">
        <f t="shared" si="35"/>
        <v>2</v>
      </c>
      <c r="R52" s="1561" t="str">
        <f>IF($P$3=1,AH52,AX52)</f>
        <v>エネルギーと水を大切に使う</v>
      </c>
      <c r="S52" s="1562">
        <f t="shared" si="43"/>
        <v>0.35</v>
      </c>
      <c r="T52" s="1562">
        <f t="shared" ref="T52:X53" si="46">IF($P$3=1,AJ52,AZ52)</f>
        <v>0</v>
      </c>
      <c r="U52" s="1562">
        <f t="shared" si="46"/>
        <v>0</v>
      </c>
      <c r="V52" s="1562">
        <f t="shared" si="46"/>
        <v>0</v>
      </c>
      <c r="W52" s="1562">
        <f t="shared" si="46"/>
        <v>0</v>
      </c>
      <c r="X52" s="1562">
        <f t="shared" si="46"/>
        <v>0</v>
      </c>
      <c r="Y52" s="1562">
        <f t="shared" ref="Y52:AD53" si="47">IF($P$3=1,AO52,BE52)</f>
        <v>0</v>
      </c>
      <c r="Z52" s="1562">
        <f t="shared" si="47"/>
        <v>0</v>
      </c>
      <c r="AA52" s="1562">
        <f t="shared" si="47"/>
        <v>0</v>
      </c>
      <c r="AB52" s="1563">
        <f t="shared" si="47"/>
        <v>0</v>
      </c>
      <c r="AC52" s="1562">
        <f t="shared" si="47"/>
        <v>0</v>
      </c>
      <c r="AD52" s="1562">
        <f t="shared" si="47"/>
        <v>0</v>
      </c>
      <c r="AE52" s="1572"/>
      <c r="AF52" s="1497"/>
      <c r="AG52" s="1497"/>
      <c r="AH52" s="1497"/>
      <c r="AI52" s="1573"/>
      <c r="AJ52" s="1573"/>
      <c r="AK52" s="1573"/>
      <c r="AL52" s="1573"/>
      <c r="AM52" s="1573"/>
      <c r="AN52" s="1573"/>
      <c r="AO52" s="1573"/>
      <c r="AP52" s="1574"/>
      <c r="AQ52" s="1573"/>
      <c r="AR52" s="1573"/>
      <c r="AS52" s="1573"/>
      <c r="AT52" s="1573"/>
      <c r="AU52" s="1575"/>
      <c r="AV52" s="1463" t="s">
        <v>426</v>
      </c>
      <c r="AW52" s="1463" t="s">
        <v>531</v>
      </c>
      <c r="AX52" s="1464" t="s">
        <v>427</v>
      </c>
      <c r="AY52" s="1500">
        <v>0.35</v>
      </c>
    </row>
    <row r="53" spans="2:51">
      <c r="B53" s="1466">
        <f t="shared" ref="B53:B71" si="48">P53</f>
        <v>1</v>
      </c>
      <c r="C53" s="1467" t="str">
        <f t="shared" si="34"/>
        <v>総合的な省エネ</v>
      </c>
      <c r="D53" s="1468">
        <f>IF(I$52=0,0,G53/I$52)</f>
        <v>0.75</v>
      </c>
      <c r="E53" s="1468">
        <f>IF(J$52=0,0,H53/J$52)</f>
        <v>0</v>
      </c>
      <c r="F53" s="1583"/>
      <c r="G53" s="1476">
        <f t="shared" ref="G53:G79" si="49">K53*((S$7*S53)+(T$7*T53)+(U$7*U53)+(V$7*V53)+(W$7*W53)+(X$7*X53)+(Y$7*Y53)+(Z$7*Z53)+(AA$7*AA53))</f>
        <v>0.75</v>
      </c>
      <c r="H53" s="1476">
        <f t="shared" si="45"/>
        <v>0</v>
      </c>
      <c r="I53" s="1585">
        <f>SUM(G54:G55)</f>
        <v>1</v>
      </c>
      <c r="J53" s="1585">
        <f>SUM(H54:H55)</f>
        <v>0</v>
      </c>
      <c r="K53" s="1476">
        <f>IF(スコア!O53=0,0,1)</f>
        <v>1</v>
      </c>
      <c r="L53" s="1476">
        <f>IF(スコア!T53=0,0,1)</f>
        <v>0</v>
      </c>
      <c r="M53" s="1476">
        <f>(S$7*S53)+(T$7*T53)+(U$7*U53)+(V$7*V53)+(W$7*W53)+(X$7*X53)+(Y$7*Y53)+(Z$7*Z53)+(AA$7*AA53)</f>
        <v>0.75</v>
      </c>
      <c r="N53" s="1476">
        <f>(AB$7*AB53)+(AC$7*AC53)+(AD$7*AD53)</f>
        <v>0</v>
      </c>
      <c r="O53" s="1583"/>
      <c r="P53" s="1594">
        <f>IF($P$3=1,AF53,AV53)</f>
        <v>1</v>
      </c>
      <c r="Q53" s="1594" t="str">
        <f t="shared" si="35"/>
        <v>2.1</v>
      </c>
      <c r="R53" s="1466" t="str">
        <f>IF($P$3=1,AH53,AX53)</f>
        <v>総合的な省エネ</v>
      </c>
      <c r="S53" s="1577">
        <f t="shared" si="43"/>
        <v>0.75</v>
      </c>
      <c r="T53" s="1577">
        <f t="shared" si="46"/>
        <v>0</v>
      </c>
      <c r="U53" s="1577">
        <f t="shared" si="46"/>
        <v>0</v>
      </c>
      <c r="V53" s="1577">
        <f t="shared" si="46"/>
        <v>0</v>
      </c>
      <c r="W53" s="1577">
        <f t="shared" si="46"/>
        <v>0</v>
      </c>
      <c r="X53" s="1577">
        <f t="shared" si="46"/>
        <v>0</v>
      </c>
      <c r="Y53" s="1577">
        <f t="shared" si="47"/>
        <v>0</v>
      </c>
      <c r="Z53" s="1565">
        <f t="shared" si="47"/>
        <v>0</v>
      </c>
      <c r="AA53" s="1577">
        <f t="shared" si="47"/>
        <v>0</v>
      </c>
      <c r="AB53" s="1566">
        <f t="shared" si="47"/>
        <v>0</v>
      </c>
      <c r="AC53" s="1564">
        <f t="shared" si="47"/>
        <v>0</v>
      </c>
      <c r="AD53" s="1564">
        <f t="shared" si="47"/>
        <v>0</v>
      </c>
      <c r="AE53" s="1546"/>
      <c r="AF53" s="1492"/>
      <c r="AG53" s="1492"/>
      <c r="AH53" s="1492"/>
      <c r="AI53" s="1496"/>
      <c r="AJ53" s="1496"/>
      <c r="AK53" s="1496"/>
      <c r="AL53" s="1496"/>
      <c r="AM53" s="1496"/>
      <c r="AN53" s="1496"/>
      <c r="AO53" s="1496"/>
      <c r="AP53" s="1549"/>
      <c r="AQ53" s="1496"/>
      <c r="AR53" s="1496"/>
      <c r="AS53" s="1496"/>
      <c r="AT53" s="1496"/>
      <c r="AU53" s="1543"/>
      <c r="AV53" s="1511">
        <v>1</v>
      </c>
      <c r="AW53" s="1501" t="s">
        <v>532</v>
      </c>
      <c r="AX53" s="1467" t="s">
        <v>617</v>
      </c>
      <c r="AY53" s="1508">
        <v>0.75</v>
      </c>
    </row>
    <row r="54" spans="2:51">
      <c r="B54" s="1474" t="str">
        <f t="shared" si="48"/>
        <v>1.1</v>
      </c>
      <c r="C54" s="1475" t="str">
        <f t="shared" si="34"/>
        <v>躯体と設備による省エネ</v>
      </c>
      <c r="D54" s="1471">
        <f>IF(I$53=0,0,G54/I$53)</f>
        <v>0.9</v>
      </c>
      <c r="E54" s="1471">
        <f>IF(J$52=0,0,H54/J$52)</f>
        <v>0</v>
      </c>
      <c r="F54" s="1586"/>
      <c r="G54" s="1483">
        <f>K54*((S$7*S54)+(T$7*T54)+(U$7*U54)+(V$7*V54)+(W$7*W54)+(X$7*X54)+(Y$7*Y54)+(Z$7*Z54)+(AA$7*AA54))</f>
        <v>0.9</v>
      </c>
      <c r="H54" s="1483">
        <f>L54*((AB$7*AB54)+(AC$7*AC54)+(AD$7*AD54))</f>
        <v>0</v>
      </c>
      <c r="I54" s="1483"/>
      <c r="J54" s="1483"/>
      <c r="K54" s="1483">
        <f>IF(スコア!O54=0,0,1)</f>
        <v>1</v>
      </c>
      <c r="L54" s="1483">
        <f>IF(スコア!T54=0,0,1)</f>
        <v>0</v>
      </c>
      <c r="M54" s="1483">
        <f>(S$7*S54)+(T$7*T54)+(U$7*U54)+(V$7*V54)+(W$7*W54)+(X$7*X54)+(Y$7*Y54)+(Z$7*Z54)+(AA$7*AA54)</f>
        <v>0.9</v>
      </c>
      <c r="N54" s="1483">
        <f>(AB$7*AB54)+(AC$7*AC54)+(AD$7*AD54)</f>
        <v>0</v>
      </c>
      <c r="O54" s="1586"/>
      <c r="P54" s="1474" t="str">
        <f>IF($P$3=1,AF54,AV54)</f>
        <v>1.1</v>
      </c>
      <c r="Q54" s="1474" t="str">
        <f>IF($P$3=1,AG54,AW54)</f>
        <v>2.1.1</v>
      </c>
      <c r="R54" s="1474" t="str">
        <f>IF($P$3=1,AH54,AX54)</f>
        <v>躯体と設備による省エネ</v>
      </c>
      <c r="S54" s="1567">
        <f t="shared" si="43"/>
        <v>0.9</v>
      </c>
      <c r="T54" s="1567">
        <f>IF($P$3=1,AJ54,AZ54)</f>
        <v>0</v>
      </c>
      <c r="U54" s="1567">
        <f>IF($P$3=1,AK54,BA54)</f>
        <v>0</v>
      </c>
      <c r="V54" s="1567">
        <f>IF($P$3=1,AL54,BB54)</f>
        <v>0</v>
      </c>
      <c r="W54" s="1567">
        <f>IF($P$3=1,AM54,BC54)</f>
        <v>0</v>
      </c>
      <c r="X54" s="1567">
        <f>IF($P$3=1,AN54,BD54)</f>
        <v>0</v>
      </c>
      <c r="Y54" s="1567">
        <f t="shared" ref="Y54:AD54" si="50">IF($P$3=1,AO54,BE54)</f>
        <v>0</v>
      </c>
      <c r="Z54" s="1569">
        <f t="shared" si="50"/>
        <v>0</v>
      </c>
      <c r="AA54" s="1567">
        <f t="shared" si="50"/>
        <v>0</v>
      </c>
      <c r="AB54" s="1589">
        <f t="shared" si="50"/>
        <v>0</v>
      </c>
      <c r="AC54" s="1587">
        <f t="shared" si="50"/>
        <v>0</v>
      </c>
      <c r="AD54" s="1587">
        <f t="shared" si="50"/>
        <v>0</v>
      </c>
      <c r="AE54" s="1546"/>
      <c r="AF54" s="1606"/>
      <c r="AG54" s="1606"/>
      <c r="AH54" s="1606"/>
      <c r="AI54" s="1496"/>
      <c r="AJ54" s="1496"/>
      <c r="AK54" s="1496"/>
      <c r="AL54" s="1496"/>
      <c r="AM54" s="1496"/>
      <c r="AN54" s="1496"/>
      <c r="AO54" s="1496"/>
      <c r="AP54" s="1549"/>
      <c r="AQ54" s="1496"/>
      <c r="AR54" s="1496"/>
      <c r="AS54" s="1496"/>
      <c r="AT54" s="1496"/>
      <c r="AU54" s="1607"/>
      <c r="AV54" s="1503" t="s">
        <v>656</v>
      </c>
      <c r="AW54" s="1503" t="s">
        <v>622</v>
      </c>
      <c r="AX54" s="1475" t="s">
        <v>616</v>
      </c>
      <c r="AY54" s="1504">
        <v>0.9</v>
      </c>
    </row>
    <row r="55" spans="2:51">
      <c r="B55" s="1469" t="str">
        <f t="shared" si="48"/>
        <v>1.2</v>
      </c>
      <c r="C55" s="1470" t="str">
        <f t="shared" si="34"/>
        <v>家電・厨房機器による省エネ</v>
      </c>
      <c r="D55" s="1471">
        <f>IF(I$53=0,0,G55/I$53)</f>
        <v>0.1</v>
      </c>
      <c r="E55" s="1471">
        <f>IF(J$54=0,0,H55/J$54)</f>
        <v>0</v>
      </c>
      <c r="F55" s="1597"/>
      <c r="G55" s="1483">
        <f t="shared" si="49"/>
        <v>0.1</v>
      </c>
      <c r="H55" s="1483">
        <f t="shared" si="45"/>
        <v>0</v>
      </c>
      <c r="I55" s="1483"/>
      <c r="J55" s="1483"/>
      <c r="K55" s="1483">
        <f>IF(スコア!O55=0,0,1)</f>
        <v>1</v>
      </c>
      <c r="L55" s="1483">
        <f>IF(スコア!T55=0,0,1)</f>
        <v>0</v>
      </c>
      <c r="M55" s="1483">
        <f>(S$7*S55)+(T$7*T55)+(U$7*U55)+(V$7*V55)+(W$7*W55)+(X$7*X55)+(Y$7*Y55)+(Z$7*Z55)+(AA$7*AA55)</f>
        <v>0.1</v>
      </c>
      <c r="N55" s="1483">
        <f>(AB$7*AB55)+(AC$7*AC55)+(AD$7*AD55)</f>
        <v>0</v>
      </c>
      <c r="O55" s="1586"/>
      <c r="P55" s="1474" t="str">
        <f>IF($P$3=1,AF55,AV55)</f>
        <v>1.2</v>
      </c>
      <c r="Q55" s="1474" t="str">
        <f>IF($P$3=1,AG55,AW55)</f>
        <v>2.1.1</v>
      </c>
      <c r="R55" s="1474" t="str">
        <f>IF($P$3=1,AH55,AX55)</f>
        <v>家電・厨房機器による省エネ</v>
      </c>
      <c r="S55" s="1567">
        <f>IF($P$3=1,AI55,AY55)</f>
        <v>0.1</v>
      </c>
      <c r="T55" s="1567"/>
      <c r="U55" s="1567"/>
      <c r="V55" s="1567"/>
      <c r="W55" s="1567"/>
      <c r="X55" s="1567"/>
      <c r="Y55" s="1567"/>
      <c r="Z55" s="1569"/>
      <c r="AA55" s="1567"/>
      <c r="AB55" s="1589"/>
      <c r="AC55" s="1587"/>
      <c r="AD55" s="1587"/>
      <c r="AE55" s="1546"/>
      <c r="AF55" s="1492"/>
      <c r="AG55" s="1492"/>
      <c r="AH55" s="1492"/>
      <c r="AI55" s="1496"/>
      <c r="AJ55" s="1496"/>
      <c r="AK55" s="1496"/>
      <c r="AL55" s="1496"/>
      <c r="AM55" s="1496"/>
      <c r="AN55" s="1496"/>
      <c r="AO55" s="1496"/>
      <c r="AP55" s="1549"/>
      <c r="AQ55" s="1496"/>
      <c r="AR55" s="1496"/>
      <c r="AS55" s="1496"/>
      <c r="AT55" s="1496"/>
      <c r="AU55" s="1543"/>
      <c r="AV55" s="1503" t="s">
        <v>618</v>
      </c>
      <c r="AW55" s="1503" t="s">
        <v>622</v>
      </c>
      <c r="AX55" s="1475" t="s">
        <v>619</v>
      </c>
      <c r="AY55" s="1504">
        <v>0.1</v>
      </c>
    </row>
    <row r="56" spans="2:51">
      <c r="B56" s="1466" t="str">
        <f t="shared" si="48"/>
        <v>2</v>
      </c>
      <c r="C56" s="1467" t="str">
        <f t="shared" si="34"/>
        <v>水の節約</v>
      </c>
      <c r="D56" s="1468">
        <f>IF(I$52=0,0,G56/I$52)</f>
        <v>0.15</v>
      </c>
      <c r="E56" s="1468">
        <f>IF(J$52=0,0,H56/J$52)</f>
        <v>0</v>
      </c>
      <c r="F56" s="1583"/>
      <c r="G56" s="1476">
        <f t="shared" si="49"/>
        <v>0.15</v>
      </c>
      <c r="H56" s="1476">
        <f t="shared" si="45"/>
        <v>0</v>
      </c>
      <c r="I56" s="1585">
        <f>SUM(G57:G58)</f>
        <v>1</v>
      </c>
      <c r="J56" s="1585">
        <f>SUM(H57:H58)</f>
        <v>0</v>
      </c>
      <c r="K56" s="1476">
        <f>IF(スコア!O56=0,0,1)</f>
        <v>1</v>
      </c>
      <c r="L56" s="1476">
        <f>IF(スコア!T56=0,0,1)</f>
        <v>0</v>
      </c>
      <c r="M56" s="1476">
        <f t="shared" ref="M56:M87" si="51">(S$7*S56)+(T$7*T56)+(U$7*U56)+(V$7*V56)+(W$7*W56)+(X$7*X56)+(Y$7*Y56)+(Z$7*Z56)+(AA$7*AA56)</f>
        <v>0.15</v>
      </c>
      <c r="N56" s="1476">
        <f t="shared" ref="N56:N87" si="52">(AB$7*AB56)+(AC$7*AC56)+(AD$7*AD56)</f>
        <v>0</v>
      </c>
      <c r="O56" s="1583"/>
      <c r="P56" s="1466" t="str">
        <f t="shared" ref="P56:P75" si="53">IF($P$3=1,AF56,AV56)</f>
        <v>2</v>
      </c>
      <c r="Q56" s="1466" t="str">
        <f t="shared" si="35"/>
        <v>2.1</v>
      </c>
      <c r="R56" s="1466" t="str">
        <f t="shared" ref="R56:R64" si="54">IF($P$3=1,AH56,AX56)</f>
        <v>水の節約</v>
      </c>
      <c r="S56" s="1577">
        <f t="shared" ref="S56:S64" si="55">IF($P$3=1,AI56,AY56)</f>
        <v>0.15</v>
      </c>
      <c r="T56" s="1577">
        <f t="shared" ref="T56:T64" si="56">IF($P$3=1,AJ56,AZ56)</f>
        <v>0</v>
      </c>
      <c r="U56" s="1577">
        <f t="shared" ref="U56:U64" si="57">IF($P$3=1,AK56,BA56)</f>
        <v>0</v>
      </c>
      <c r="V56" s="1577">
        <f t="shared" ref="V56:V64" si="58">IF($P$3=1,AL56,BB56)</f>
        <v>0</v>
      </c>
      <c r="W56" s="1577">
        <f t="shared" ref="W56:W64" si="59">IF($P$3=1,AM56,BC56)</f>
        <v>0</v>
      </c>
      <c r="X56" s="1577">
        <f t="shared" ref="X56:X64" si="60">IF($P$3=1,AN56,BD56)</f>
        <v>0</v>
      </c>
      <c r="Y56" s="1577">
        <f t="shared" ref="Y56:AD56" si="61">IF($P$3=1,AO56,BE56)</f>
        <v>0</v>
      </c>
      <c r="Z56" s="1565">
        <f t="shared" si="61"/>
        <v>0</v>
      </c>
      <c r="AA56" s="1577">
        <f t="shared" si="61"/>
        <v>0</v>
      </c>
      <c r="AB56" s="1566">
        <f t="shared" si="61"/>
        <v>0</v>
      </c>
      <c r="AC56" s="1564">
        <f t="shared" si="61"/>
        <v>0</v>
      </c>
      <c r="AD56" s="1564">
        <f t="shared" si="61"/>
        <v>0</v>
      </c>
      <c r="AE56" s="1572"/>
      <c r="AF56" s="1497"/>
      <c r="AG56" s="1497"/>
      <c r="AH56" s="1497"/>
      <c r="AI56" s="1573"/>
      <c r="AJ56" s="1573"/>
      <c r="AK56" s="1573"/>
      <c r="AL56" s="1573"/>
      <c r="AM56" s="1573"/>
      <c r="AN56" s="1573"/>
      <c r="AO56" s="1573"/>
      <c r="AP56" s="1574"/>
      <c r="AQ56" s="1573"/>
      <c r="AR56" s="1573"/>
      <c r="AS56" s="1573"/>
      <c r="AT56" s="1573"/>
      <c r="AU56" s="1575"/>
      <c r="AV56" s="1501" t="s">
        <v>433</v>
      </c>
      <c r="AW56" s="1501" t="s">
        <v>532</v>
      </c>
      <c r="AX56" s="1467" t="s">
        <v>501</v>
      </c>
      <c r="AY56" s="1508">
        <v>0.15</v>
      </c>
    </row>
    <row r="57" spans="2:51">
      <c r="B57" s="1474" t="str">
        <f t="shared" si="48"/>
        <v>2.1</v>
      </c>
      <c r="C57" s="1474" t="str">
        <f t="shared" ref="C57:C87" si="62">R57</f>
        <v>節水型設備</v>
      </c>
      <c r="D57" s="1471">
        <f>IF(I$56=0,0,G57/I$56)</f>
        <v>0.75</v>
      </c>
      <c r="E57" s="1471">
        <f>IF(J$56=0,0,H57/J$56)</f>
        <v>0</v>
      </c>
      <c r="F57" s="1596"/>
      <c r="G57" s="1483">
        <f t="shared" si="49"/>
        <v>0.75</v>
      </c>
      <c r="H57" s="1483">
        <f t="shared" si="45"/>
        <v>0</v>
      </c>
      <c r="I57" s="1483"/>
      <c r="J57" s="1483"/>
      <c r="K57" s="1483">
        <f>IF(スコア!O57=0,0,1)</f>
        <v>1</v>
      </c>
      <c r="L57" s="1483">
        <f>IF(スコア!T57=0,0,1)</f>
        <v>0</v>
      </c>
      <c r="M57" s="1483">
        <f t="shared" si="51"/>
        <v>0.75</v>
      </c>
      <c r="N57" s="1483">
        <f t="shared" si="52"/>
        <v>0</v>
      </c>
      <c r="O57" s="1596"/>
      <c r="P57" s="1474" t="str">
        <f t="shared" si="53"/>
        <v>2.1</v>
      </c>
      <c r="Q57" s="1474" t="str">
        <f t="shared" si="35"/>
        <v>2.1.3</v>
      </c>
      <c r="R57" s="1474" t="str">
        <f t="shared" si="54"/>
        <v>節水型設備</v>
      </c>
      <c r="S57" s="1567">
        <f t="shared" si="55"/>
        <v>0.75</v>
      </c>
      <c r="T57" s="1567">
        <f t="shared" si="56"/>
        <v>0</v>
      </c>
      <c r="U57" s="1567">
        <f t="shared" si="57"/>
        <v>0</v>
      </c>
      <c r="V57" s="1567">
        <f t="shared" si="58"/>
        <v>0</v>
      </c>
      <c r="W57" s="1567">
        <f t="shared" si="59"/>
        <v>0</v>
      </c>
      <c r="X57" s="1567">
        <f t="shared" si="60"/>
        <v>0</v>
      </c>
      <c r="Y57" s="1567">
        <f>IF($P$3=1,AO57,BE57)*Y$8</f>
        <v>0</v>
      </c>
      <c r="Z57" s="1569">
        <f t="shared" ref="Z57:AD58" si="63">IF($P$3=1,AP57,BF57)</f>
        <v>0</v>
      </c>
      <c r="AA57" s="1567">
        <f t="shared" si="63"/>
        <v>0</v>
      </c>
      <c r="AB57" s="1568">
        <f t="shared" si="63"/>
        <v>0</v>
      </c>
      <c r="AC57" s="1567">
        <f t="shared" si="63"/>
        <v>0</v>
      </c>
      <c r="AD57" s="1567">
        <f t="shared" si="63"/>
        <v>0</v>
      </c>
      <c r="AE57" s="1546"/>
      <c r="AF57" s="1492"/>
      <c r="AG57" s="1492"/>
      <c r="AH57" s="1492"/>
      <c r="AI57" s="1496"/>
      <c r="AJ57" s="1496"/>
      <c r="AK57" s="1496"/>
      <c r="AL57" s="1496"/>
      <c r="AM57" s="1496"/>
      <c r="AN57" s="1496"/>
      <c r="AO57" s="1496"/>
      <c r="AP57" s="1549"/>
      <c r="AQ57" s="1496"/>
      <c r="AR57" s="1496"/>
      <c r="AS57" s="1496"/>
      <c r="AT57" s="1496"/>
      <c r="AU57" s="1543"/>
      <c r="AV57" s="1503" t="s">
        <v>435</v>
      </c>
      <c r="AW57" s="1503" t="s">
        <v>186</v>
      </c>
      <c r="AX57" s="1475" t="s">
        <v>502</v>
      </c>
      <c r="AY57" s="1504">
        <v>0.75</v>
      </c>
    </row>
    <row r="58" spans="2:51">
      <c r="B58" s="1469" t="str">
        <f t="shared" si="48"/>
        <v>2.2</v>
      </c>
      <c r="C58" s="1470" t="str">
        <f t="shared" si="62"/>
        <v>雨水の利用</v>
      </c>
      <c r="D58" s="1471">
        <f>IF(I$56=0,0,G58/I$56)</f>
        <v>0.25</v>
      </c>
      <c r="E58" s="1471">
        <f>IF(J$56=0,0,H58/J$56)</f>
        <v>0</v>
      </c>
      <c r="F58" s="1597"/>
      <c r="G58" s="1483">
        <f t="shared" si="49"/>
        <v>0.25</v>
      </c>
      <c r="H58" s="1483">
        <f t="shared" si="45"/>
        <v>0</v>
      </c>
      <c r="I58" s="1483"/>
      <c r="J58" s="1483"/>
      <c r="K58" s="1483">
        <f>IF(スコア!O58=0,0,1)</f>
        <v>1</v>
      </c>
      <c r="L58" s="1483">
        <f>IF(スコア!T58=0,0,1)</f>
        <v>0</v>
      </c>
      <c r="M58" s="1483">
        <f t="shared" si="51"/>
        <v>0.25</v>
      </c>
      <c r="N58" s="1483">
        <f t="shared" si="52"/>
        <v>0</v>
      </c>
      <c r="O58" s="1597"/>
      <c r="P58" s="1474" t="str">
        <f t="shared" si="53"/>
        <v>2.2</v>
      </c>
      <c r="Q58" s="1474" t="str">
        <f t="shared" ref="Q58:Q75" si="64">IF($P$3=1,AG58,AW58)</f>
        <v>2.1.3</v>
      </c>
      <c r="R58" s="1474" t="str">
        <f t="shared" si="54"/>
        <v>雨水の利用</v>
      </c>
      <c r="S58" s="1567">
        <f t="shared" si="55"/>
        <v>0.25</v>
      </c>
      <c r="T58" s="1567">
        <f t="shared" si="56"/>
        <v>0</v>
      </c>
      <c r="U58" s="1567">
        <f t="shared" si="57"/>
        <v>0</v>
      </c>
      <c r="V58" s="1567">
        <f t="shared" si="58"/>
        <v>0</v>
      </c>
      <c r="W58" s="1567">
        <f t="shared" si="59"/>
        <v>0</v>
      </c>
      <c r="X58" s="1567">
        <f t="shared" si="60"/>
        <v>0</v>
      </c>
      <c r="Y58" s="1567">
        <f>IF($P$3=1,AO58,BE58)*Y$8</f>
        <v>0</v>
      </c>
      <c r="Z58" s="1569">
        <f t="shared" si="63"/>
        <v>0</v>
      </c>
      <c r="AA58" s="1567">
        <f t="shared" si="63"/>
        <v>0</v>
      </c>
      <c r="AB58" s="1568">
        <f t="shared" si="63"/>
        <v>0</v>
      </c>
      <c r="AC58" s="1567">
        <f t="shared" si="63"/>
        <v>0</v>
      </c>
      <c r="AD58" s="1567">
        <f t="shared" si="63"/>
        <v>0</v>
      </c>
      <c r="AE58" s="1546"/>
      <c r="AF58" s="1492"/>
      <c r="AG58" s="1492"/>
      <c r="AH58" s="1492"/>
      <c r="AI58" s="1496"/>
      <c r="AJ58" s="1496"/>
      <c r="AK58" s="1496"/>
      <c r="AL58" s="1496"/>
      <c r="AM58" s="1496"/>
      <c r="AN58" s="1496"/>
      <c r="AO58" s="1496"/>
      <c r="AP58" s="1549"/>
      <c r="AQ58" s="1496"/>
      <c r="AR58" s="1496"/>
      <c r="AS58" s="1496"/>
      <c r="AT58" s="1496"/>
      <c r="AU58" s="1543"/>
      <c r="AV58" s="1503" t="s">
        <v>438</v>
      </c>
      <c r="AW58" s="1503" t="s">
        <v>186</v>
      </c>
      <c r="AX58" s="1475" t="s">
        <v>504</v>
      </c>
      <c r="AY58" s="1504">
        <v>0.25</v>
      </c>
    </row>
    <row r="59" spans="2:51">
      <c r="B59" s="1466" t="str">
        <f t="shared" si="48"/>
        <v>3</v>
      </c>
      <c r="C59" s="1467" t="str">
        <f t="shared" si="62"/>
        <v>維持管理と運用の工夫</v>
      </c>
      <c r="D59" s="1468">
        <f>IF(I$52=0,0,G59/I$52)</f>
        <v>0.1</v>
      </c>
      <c r="E59" s="1468">
        <f>IF(J$52=0,0,H59/J$52)</f>
        <v>0</v>
      </c>
      <c r="F59" s="1583"/>
      <c r="G59" s="1476">
        <f t="shared" si="49"/>
        <v>0.1</v>
      </c>
      <c r="H59" s="1476">
        <f t="shared" si="45"/>
        <v>0</v>
      </c>
      <c r="I59" s="1476">
        <f>G60+G61</f>
        <v>1</v>
      </c>
      <c r="J59" s="1476">
        <f>H60+H61</f>
        <v>0</v>
      </c>
      <c r="K59" s="1476">
        <f>IF(スコア!O59=0,0,1)</f>
        <v>1</v>
      </c>
      <c r="L59" s="1476">
        <f>IF(スコア!T59=0,0,1)</f>
        <v>0</v>
      </c>
      <c r="M59" s="1476">
        <f t="shared" si="51"/>
        <v>0.1</v>
      </c>
      <c r="N59" s="1476">
        <f t="shared" si="52"/>
        <v>0</v>
      </c>
      <c r="O59" s="1583"/>
      <c r="P59" s="1594" t="str">
        <f t="shared" si="53"/>
        <v>3</v>
      </c>
      <c r="Q59" s="1594" t="str">
        <f t="shared" si="64"/>
        <v>2.1</v>
      </c>
      <c r="R59" s="1466" t="str">
        <f t="shared" si="54"/>
        <v>維持管理と運用の工夫</v>
      </c>
      <c r="S59" s="1577">
        <f t="shared" si="55"/>
        <v>0.1</v>
      </c>
      <c r="T59" s="1577">
        <f t="shared" si="56"/>
        <v>0</v>
      </c>
      <c r="U59" s="1577">
        <f t="shared" si="57"/>
        <v>0</v>
      </c>
      <c r="V59" s="1577">
        <f t="shared" si="58"/>
        <v>0</v>
      </c>
      <c r="W59" s="1577">
        <f t="shared" si="59"/>
        <v>0</v>
      </c>
      <c r="X59" s="1577">
        <f t="shared" si="60"/>
        <v>0</v>
      </c>
      <c r="Y59" s="1577">
        <f t="shared" ref="Y59:AA64" si="65">IF($P$3=1,AO59,BE59)</f>
        <v>0</v>
      </c>
      <c r="Z59" s="1565">
        <f t="shared" si="65"/>
        <v>0</v>
      </c>
      <c r="AA59" s="1577">
        <f t="shared" si="65"/>
        <v>0</v>
      </c>
      <c r="AB59" s="1566">
        <f t="shared" ref="AB59:AD64" si="66">IF($P$3=1,AR59,BH59)</f>
        <v>0</v>
      </c>
      <c r="AC59" s="1564">
        <f t="shared" si="66"/>
        <v>0</v>
      </c>
      <c r="AD59" s="1564">
        <f t="shared" si="66"/>
        <v>0</v>
      </c>
      <c r="AE59" s="1546"/>
      <c r="AF59" s="1492"/>
      <c r="AG59" s="1492"/>
      <c r="AH59" s="1492"/>
      <c r="AI59" s="1496"/>
      <c r="AJ59" s="1496"/>
      <c r="AK59" s="1496"/>
      <c r="AL59" s="1496"/>
      <c r="AM59" s="1496"/>
      <c r="AN59" s="1496"/>
      <c r="AO59" s="1496"/>
      <c r="AP59" s="1549"/>
      <c r="AQ59" s="1496"/>
      <c r="AR59" s="1496"/>
      <c r="AS59" s="1496"/>
      <c r="AT59" s="1496"/>
      <c r="AU59" s="1543"/>
      <c r="AV59" s="1511" t="s">
        <v>440</v>
      </c>
      <c r="AW59" s="1501" t="s">
        <v>532</v>
      </c>
      <c r="AX59" s="1467" t="s">
        <v>506</v>
      </c>
      <c r="AY59" s="1508">
        <v>0.1</v>
      </c>
    </row>
    <row r="60" spans="2:51">
      <c r="B60" s="1474" t="str">
        <f t="shared" si="48"/>
        <v>3.1</v>
      </c>
      <c r="C60" s="1474" t="str">
        <f t="shared" si="62"/>
        <v>住まい方の堤示</v>
      </c>
      <c r="D60" s="1471">
        <f>IF(I$59=0,0,G60/I$59)</f>
        <v>0.5</v>
      </c>
      <c r="E60" s="1471">
        <f>IF(J$59=0,0,H60/J$59)</f>
        <v>0</v>
      </c>
      <c r="F60" s="1534"/>
      <c r="G60" s="1483">
        <f t="shared" si="49"/>
        <v>0.5</v>
      </c>
      <c r="H60" s="1483">
        <f t="shared" si="45"/>
        <v>0</v>
      </c>
      <c r="I60" s="1483"/>
      <c r="J60" s="1483"/>
      <c r="K60" s="1483">
        <f>IF(スコア!O60=0,0,1)</f>
        <v>1</v>
      </c>
      <c r="L60" s="1483">
        <f>IF(スコア!T60=0,0,1)</f>
        <v>0</v>
      </c>
      <c r="M60" s="1483">
        <f t="shared" si="51"/>
        <v>0.5</v>
      </c>
      <c r="N60" s="1483">
        <f t="shared" si="52"/>
        <v>0</v>
      </c>
      <c r="O60" s="1596"/>
      <c r="P60" s="1474" t="str">
        <f t="shared" si="53"/>
        <v>3.1</v>
      </c>
      <c r="Q60" s="1474" t="str">
        <f t="shared" si="64"/>
        <v>2.1.4</v>
      </c>
      <c r="R60" s="1474" t="str">
        <f t="shared" si="54"/>
        <v>住まい方の堤示</v>
      </c>
      <c r="S60" s="1567">
        <f t="shared" si="55"/>
        <v>0.5</v>
      </c>
      <c r="T60" s="1567">
        <f t="shared" si="56"/>
        <v>0</v>
      </c>
      <c r="U60" s="1567">
        <f t="shared" si="57"/>
        <v>0</v>
      </c>
      <c r="V60" s="1567">
        <f t="shared" si="58"/>
        <v>0</v>
      </c>
      <c r="W60" s="1567">
        <f t="shared" si="59"/>
        <v>0</v>
      </c>
      <c r="X60" s="1567">
        <f t="shared" si="60"/>
        <v>0</v>
      </c>
      <c r="Y60" s="1567">
        <f t="shared" si="65"/>
        <v>0</v>
      </c>
      <c r="Z60" s="1569">
        <f t="shared" si="65"/>
        <v>0</v>
      </c>
      <c r="AA60" s="1567">
        <f t="shared" si="65"/>
        <v>0</v>
      </c>
      <c r="AB60" s="1568">
        <f t="shared" si="66"/>
        <v>0</v>
      </c>
      <c r="AC60" s="1587">
        <f t="shared" si="66"/>
        <v>0</v>
      </c>
      <c r="AD60" s="1587">
        <f t="shared" si="66"/>
        <v>0</v>
      </c>
      <c r="AE60" s="1546"/>
      <c r="AF60" s="1492"/>
      <c r="AG60" s="1492"/>
      <c r="AH60" s="1492"/>
      <c r="AI60" s="1496"/>
      <c r="AJ60" s="1496"/>
      <c r="AK60" s="1496"/>
      <c r="AL60" s="1496"/>
      <c r="AM60" s="1496"/>
      <c r="AN60" s="1496"/>
      <c r="AO60" s="1496"/>
      <c r="AP60" s="1549"/>
      <c r="AQ60" s="1496"/>
      <c r="AR60" s="1496"/>
      <c r="AS60" s="1496"/>
      <c r="AT60" s="1496"/>
      <c r="AU60" s="1543"/>
      <c r="AV60" s="1503" t="s">
        <v>442</v>
      </c>
      <c r="AW60" s="1503" t="s">
        <v>187</v>
      </c>
      <c r="AX60" s="1475" t="s">
        <v>539</v>
      </c>
      <c r="AY60" s="1504">
        <v>0.5</v>
      </c>
    </row>
    <row r="61" spans="2:51">
      <c r="B61" s="1469" t="str">
        <f t="shared" si="48"/>
        <v>3.2</v>
      </c>
      <c r="C61" s="1470" t="str">
        <f t="shared" si="62"/>
        <v>エネルギーの管理と制御</v>
      </c>
      <c r="D61" s="1471">
        <f>IF(I$59=0,0,G61/I$59)</f>
        <v>0.5</v>
      </c>
      <c r="E61" s="1471">
        <f>IF(J$59=0,0,H61/J$59)</f>
        <v>0</v>
      </c>
      <c r="F61" s="1579"/>
      <c r="G61" s="1483">
        <f t="shared" si="49"/>
        <v>0.5</v>
      </c>
      <c r="H61" s="1483">
        <f t="shared" si="45"/>
        <v>0</v>
      </c>
      <c r="I61" s="1483"/>
      <c r="J61" s="1483"/>
      <c r="K61" s="1483">
        <f>IF(スコア!O61=0,0,1)</f>
        <v>1</v>
      </c>
      <c r="L61" s="1483">
        <f>IF(スコア!T61=0,0,1)</f>
        <v>0</v>
      </c>
      <c r="M61" s="1483">
        <f t="shared" si="51"/>
        <v>0.5</v>
      </c>
      <c r="N61" s="1483">
        <f t="shared" si="52"/>
        <v>0</v>
      </c>
      <c r="O61" s="1596"/>
      <c r="P61" s="1474" t="str">
        <f t="shared" si="53"/>
        <v>3.2</v>
      </c>
      <c r="Q61" s="1474" t="str">
        <f t="shared" si="64"/>
        <v>2.1.4</v>
      </c>
      <c r="R61" s="1474" t="str">
        <f t="shared" si="54"/>
        <v>エネルギーの管理と制御</v>
      </c>
      <c r="S61" s="1567">
        <f t="shared" si="55"/>
        <v>0.5</v>
      </c>
      <c r="T61" s="1567">
        <f t="shared" si="56"/>
        <v>0</v>
      </c>
      <c r="U61" s="1567">
        <f t="shared" si="57"/>
        <v>0</v>
      </c>
      <c r="V61" s="1567">
        <f t="shared" si="58"/>
        <v>0</v>
      </c>
      <c r="W61" s="1567">
        <f t="shared" si="59"/>
        <v>0</v>
      </c>
      <c r="X61" s="1567">
        <f t="shared" si="60"/>
        <v>0</v>
      </c>
      <c r="Y61" s="1567">
        <f t="shared" si="65"/>
        <v>0</v>
      </c>
      <c r="Z61" s="1569">
        <f t="shared" si="65"/>
        <v>0</v>
      </c>
      <c r="AA61" s="1567">
        <f t="shared" si="65"/>
        <v>0</v>
      </c>
      <c r="AB61" s="1568">
        <f t="shared" si="66"/>
        <v>0</v>
      </c>
      <c r="AC61" s="1587">
        <f t="shared" si="66"/>
        <v>0</v>
      </c>
      <c r="AD61" s="1587">
        <f t="shared" si="66"/>
        <v>0</v>
      </c>
      <c r="AE61" s="1546"/>
      <c r="AF61" s="1492"/>
      <c r="AG61" s="1492"/>
      <c r="AH61" s="1492"/>
      <c r="AI61" s="1496"/>
      <c r="AJ61" s="1496"/>
      <c r="AK61" s="1496"/>
      <c r="AL61" s="1496"/>
      <c r="AM61" s="1496"/>
      <c r="AN61" s="1496"/>
      <c r="AO61" s="1496"/>
      <c r="AP61" s="1549"/>
      <c r="AQ61" s="1496"/>
      <c r="AR61" s="1496"/>
      <c r="AS61" s="1496"/>
      <c r="AT61" s="1496"/>
      <c r="AU61" s="1543"/>
      <c r="AV61" s="1503" t="s">
        <v>422</v>
      </c>
      <c r="AW61" s="1503" t="s">
        <v>187</v>
      </c>
      <c r="AX61" s="1470" t="s">
        <v>505</v>
      </c>
      <c r="AY61" s="1504">
        <v>0.5</v>
      </c>
    </row>
    <row r="62" spans="2:51">
      <c r="B62" s="1463" t="s">
        <v>428</v>
      </c>
      <c r="C62" s="1464" t="str">
        <f t="shared" si="62"/>
        <v>資源を大切に使いゴミを減らす</v>
      </c>
      <c r="D62" s="1477" t="e">
        <f>IF(I$51=0,0,G62/I$51)</f>
        <v>#VALUE!</v>
      </c>
      <c r="E62" s="1477">
        <f>IF(J$51=0,0,H62/J$51)</f>
        <v>0</v>
      </c>
      <c r="F62" s="1576"/>
      <c r="G62" s="1482">
        <f t="shared" si="49"/>
        <v>0.35</v>
      </c>
      <c r="H62" s="1482">
        <f t="shared" si="45"/>
        <v>0</v>
      </c>
      <c r="I62" s="1482">
        <f>G63+G72+G76</f>
        <v>0.99999999999999989</v>
      </c>
      <c r="J62" s="1482">
        <f>H63+H72+H76</f>
        <v>0</v>
      </c>
      <c r="K62" s="1482">
        <f>IF(スコア!S62=0,0,1)</f>
        <v>1</v>
      </c>
      <c r="L62" s="1482">
        <f>IF(スコア!T62=0,0,1)</f>
        <v>0</v>
      </c>
      <c r="M62" s="1482">
        <f t="shared" si="51"/>
        <v>0.35</v>
      </c>
      <c r="N62" s="1482">
        <f t="shared" si="52"/>
        <v>0</v>
      </c>
      <c r="O62" s="1560"/>
      <c r="P62" s="1464" t="str">
        <f t="shared" si="53"/>
        <v>LRH2</v>
      </c>
      <c r="Q62" s="1464" t="str">
        <f t="shared" si="64"/>
        <v>2</v>
      </c>
      <c r="R62" s="1561" t="str">
        <f t="shared" si="54"/>
        <v>資源を大切に使いゴミを減らす</v>
      </c>
      <c r="S62" s="1562">
        <f t="shared" si="55"/>
        <v>0.35</v>
      </c>
      <c r="T62" s="1562">
        <f t="shared" si="56"/>
        <v>0</v>
      </c>
      <c r="U62" s="1562">
        <f t="shared" si="57"/>
        <v>0</v>
      </c>
      <c r="V62" s="1562">
        <f t="shared" si="58"/>
        <v>0</v>
      </c>
      <c r="W62" s="1562">
        <f t="shared" si="59"/>
        <v>0</v>
      </c>
      <c r="X62" s="1562">
        <f t="shared" si="60"/>
        <v>0</v>
      </c>
      <c r="Y62" s="1562">
        <f t="shared" si="65"/>
        <v>0</v>
      </c>
      <c r="Z62" s="1598">
        <f t="shared" si="65"/>
        <v>0</v>
      </c>
      <c r="AA62" s="1562">
        <f t="shared" si="65"/>
        <v>0</v>
      </c>
      <c r="AB62" s="1599">
        <f t="shared" si="66"/>
        <v>0</v>
      </c>
      <c r="AC62" s="1600">
        <f t="shared" si="66"/>
        <v>0</v>
      </c>
      <c r="AD62" s="1600">
        <f t="shared" si="66"/>
        <v>0</v>
      </c>
      <c r="AE62" s="1572"/>
      <c r="AF62" s="1497"/>
      <c r="AG62" s="1497"/>
      <c r="AH62" s="1497"/>
      <c r="AI62" s="1573"/>
      <c r="AJ62" s="1573"/>
      <c r="AK62" s="1573"/>
      <c r="AL62" s="1573"/>
      <c r="AM62" s="1573"/>
      <c r="AN62" s="1573"/>
      <c r="AO62" s="1573"/>
      <c r="AP62" s="1574"/>
      <c r="AQ62" s="1573"/>
      <c r="AR62" s="1573"/>
      <c r="AS62" s="1573"/>
      <c r="AT62" s="1573"/>
      <c r="AU62" s="1575"/>
      <c r="AV62" s="1463" t="s">
        <v>428</v>
      </c>
      <c r="AW62" s="1513" t="s">
        <v>531</v>
      </c>
      <c r="AX62" s="1464" t="s">
        <v>507</v>
      </c>
      <c r="AY62" s="1500">
        <v>0.35</v>
      </c>
    </row>
    <row r="63" spans="2:51">
      <c r="B63" s="1466">
        <f t="shared" si="48"/>
        <v>1</v>
      </c>
      <c r="C63" s="1467" t="str">
        <f t="shared" si="62"/>
        <v>省資源，廃棄物抑制に役立つ材料の採用</v>
      </c>
      <c r="D63" s="1468">
        <f>IF(I$62=0,0,G63/I$62)</f>
        <v>0.60000000000000009</v>
      </c>
      <c r="E63" s="1468">
        <f>IF(J$62=0,0,H63/J$62)</f>
        <v>0</v>
      </c>
      <c r="F63" s="1576"/>
      <c r="G63" s="1476">
        <f t="shared" si="49"/>
        <v>0.6</v>
      </c>
      <c r="H63" s="1476">
        <f t="shared" si="45"/>
        <v>0</v>
      </c>
      <c r="I63" s="1476">
        <f>G64+G68+G69+G70+G71</f>
        <v>0.99999999999999989</v>
      </c>
      <c r="J63" s="1476">
        <f>H64+H68+H69+H70+H71</f>
        <v>0</v>
      </c>
      <c r="K63" s="1476">
        <f>IF(スコア!O63=0,0,1)</f>
        <v>1</v>
      </c>
      <c r="L63" s="1476">
        <f>IF(スコア!T63=0,0,1)</f>
        <v>0</v>
      </c>
      <c r="M63" s="1476">
        <f t="shared" si="51"/>
        <v>0.6</v>
      </c>
      <c r="N63" s="1476">
        <f t="shared" si="52"/>
        <v>0</v>
      </c>
      <c r="O63" s="1560"/>
      <c r="P63" s="1594">
        <f t="shared" si="53"/>
        <v>1</v>
      </c>
      <c r="Q63" s="1594" t="str">
        <f t="shared" si="64"/>
        <v>2.2</v>
      </c>
      <c r="R63" s="1466" t="str">
        <f t="shared" si="54"/>
        <v>省資源，廃棄物抑制に役立つ材料の採用</v>
      </c>
      <c r="S63" s="1564">
        <f t="shared" si="55"/>
        <v>0.6</v>
      </c>
      <c r="T63" s="1564">
        <f t="shared" si="56"/>
        <v>0</v>
      </c>
      <c r="U63" s="1564">
        <f t="shared" si="57"/>
        <v>0</v>
      </c>
      <c r="V63" s="1564">
        <f t="shared" si="58"/>
        <v>0</v>
      </c>
      <c r="W63" s="1564">
        <f t="shared" si="59"/>
        <v>0</v>
      </c>
      <c r="X63" s="1564">
        <f t="shared" si="60"/>
        <v>0</v>
      </c>
      <c r="Y63" s="1564">
        <f t="shared" si="65"/>
        <v>0</v>
      </c>
      <c r="Z63" s="1580">
        <f t="shared" si="65"/>
        <v>0</v>
      </c>
      <c r="AA63" s="1564">
        <f t="shared" si="65"/>
        <v>0</v>
      </c>
      <c r="AB63" s="1601">
        <f t="shared" si="66"/>
        <v>0</v>
      </c>
      <c r="AC63" s="1602">
        <f t="shared" si="66"/>
        <v>0</v>
      </c>
      <c r="AD63" s="1602">
        <f t="shared" si="66"/>
        <v>0</v>
      </c>
      <c r="AE63" s="1546"/>
      <c r="AF63" s="1492"/>
      <c r="AG63" s="1492"/>
      <c r="AH63" s="1492"/>
      <c r="AI63" s="1496"/>
      <c r="AJ63" s="1496"/>
      <c r="AK63" s="1496"/>
      <c r="AL63" s="1496"/>
      <c r="AM63" s="1496"/>
      <c r="AN63" s="1496"/>
      <c r="AO63" s="1496"/>
      <c r="AP63" s="1549"/>
      <c r="AQ63" s="1496"/>
      <c r="AR63" s="1496"/>
      <c r="AS63" s="1496"/>
      <c r="AT63" s="1496"/>
      <c r="AU63" s="1543"/>
      <c r="AV63" s="1511">
        <v>1</v>
      </c>
      <c r="AW63" s="1501" t="s">
        <v>533</v>
      </c>
      <c r="AX63" s="1467" t="s">
        <v>1101</v>
      </c>
      <c r="AY63" s="1508">
        <v>0.6</v>
      </c>
    </row>
    <row r="64" spans="2:51">
      <c r="B64" s="1469">
        <f t="shared" si="48"/>
        <v>1.1000000000000001</v>
      </c>
      <c r="C64" s="1470" t="str">
        <f t="shared" si="62"/>
        <v>構造躯体</v>
      </c>
      <c r="D64" s="1471">
        <f>IF(I$63=0,0,G64/I$63)</f>
        <v>0.30000000000000004</v>
      </c>
      <c r="E64" s="1471">
        <f>IF(J$63=0,0,H64/J$63)</f>
        <v>0</v>
      </c>
      <c r="F64" s="1576"/>
      <c r="G64" s="1483">
        <f t="shared" si="49"/>
        <v>0.3</v>
      </c>
      <c r="H64" s="1483">
        <f t="shared" si="45"/>
        <v>0</v>
      </c>
      <c r="I64" s="1483">
        <f>G65+G66+G67</f>
        <v>1</v>
      </c>
      <c r="J64" s="1483">
        <f>H65+H66+H67</f>
        <v>0</v>
      </c>
      <c r="K64" s="1483">
        <f>IF(スコア!O64=0,0,1)</f>
        <v>1</v>
      </c>
      <c r="L64" s="1483">
        <f>IF(スコア!T64=0,0,1)</f>
        <v>0</v>
      </c>
      <c r="M64" s="1483">
        <f t="shared" si="51"/>
        <v>0.3</v>
      </c>
      <c r="N64" s="1483">
        <f t="shared" si="52"/>
        <v>0</v>
      </c>
      <c r="O64" s="1538"/>
      <c r="P64" s="1474">
        <f t="shared" si="53"/>
        <v>1.1000000000000001</v>
      </c>
      <c r="Q64" s="1474" t="str">
        <f t="shared" si="64"/>
        <v>2.2.1</v>
      </c>
      <c r="R64" s="1474" t="str">
        <f t="shared" si="54"/>
        <v>構造躯体</v>
      </c>
      <c r="S64" s="1567">
        <f t="shared" si="55"/>
        <v>0.3</v>
      </c>
      <c r="T64" s="1567">
        <f t="shared" si="56"/>
        <v>0</v>
      </c>
      <c r="U64" s="1567">
        <f t="shared" si="57"/>
        <v>0</v>
      </c>
      <c r="V64" s="1567">
        <f t="shared" si="58"/>
        <v>0</v>
      </c>
      <c r="W64" s="1567">
        <f t="shared" si="59"/>
        <v>0</v>
      </c>
      <c r="X64" s="1567">
        <f t="shared" si="60"/>
        <v>0</v>
      </c>
      <c r="Y64" s="1567">
        <f t="shared" si="65"/>
        <v>0</v>
      </c>
      <c r="Z64" s="1569">
        <f t="shared" si="65"/>
        <v>0</v>
      </c>
      <c r="AA64" s="1567">
        <f t="shared" si="65"/>
        <v>0</v>
      </c>
      <c r="AB64" s="1603">
        <f t="shared" si="66"/>
        <v>0</v>
      </c>
      <c r="AC64" s="1604">
        <f t="shared" si="66"/>
        <v>0</v>
      </c>
      <c r="AD64" s="1604">
        <f t="shared" si="66"/>
        <v>0</v>
      </c>
      <c r="AE64" s="1546"/>
      <c r="AF64" s="1492"/>
      <c r="AG64" s="1492"/>
      <c r="AH64" s="1492"/>
      <c r="AI64" s="1496"/>
      <c r="AJ64" s="1496"/>
      <c r="AK64" s="1496"/>
      <c r="AL64" s="1496"/>
      <c r="AM64" s="1496"/>
      <c r="AN64" s="1496"/>
      <c r="AO64" s="1496"/>
      <c r="AP64" s="1549"/>
      <c r="AQ64" s="1496"/>
      <c r="AR64" s="1496"/>
      <c r="AS64" s="1496"/>
      <c r="AT64" s="1496"/>
      <c r="AU64" s="1543"/>
      <c r="AV64" s="1503">
        <v>1.1000000000000001</v>
      </c>
      <c r="AW64" s="1503" t="s">
        <v>844</v>
      </c>
      <c r="AX64" s="1470" t="s">
        <v>508</v>
      </c>
      <c r="AY64" s="1504">
        <v>0.3</v>
      </c>
    </row>
    <row r="65" spans="2:51">
      <c r="B65" s="1469" t="str">
        <f t="shared" si="48"/>
        <v>1.1.1</v>
      </c>
      <c r="C65" s="1470" t="str">
        <f t="shared" si="62"/>
        <v>木質系住宅</v>
      </c>
      <c r="D65" s="1471">
        <f t="shared" ref="D65:E67" si="67">IF(I$64=0,0,G65/I$64)</f>
        <v>1</v>
      </c>
      <c r="E65" s="1471">
        <f t="shared" si="67"/>
        <v>0</v>
      </c>
      <c r="F65" s="1576"/>
      <c r="G65" s="1483">
        <f t="shared" si="49"/>
        <v>1</v>
      </c>
      <c r="H65" s="1483">
        <f>L65*((T$7*T65)+(U$7*U65)+(V$7*V65)+(W$7*W65)+(X$7*X65)+(Y$7*Y65)+(Z$7*Z65)+(AA$7*AA65)+(AB$7*AB65))</f>
        <v>0</v>
      </c>
      <c r="I65" s="1483"/>
      <c r="J65" s="1483"/>
      <c r="K65" s="1483">
        <f>IF(スコア!O65=0,0,1)</f>
        <v>1</v>
      </c>
      <c r="L65" s="1483">
        <f>IF(スコア!T65=0,0,1)</f>
        <v>0</v>
      </c>
      <c r="M65" s="1483">
        <f t="shared" si="51"/>
        <v>1</v>
      </c>
      <c r="N65" s="1483">
        <f t="shared" si="52"/>
        <v>0</v>
      </c>
      <c r="O65" s="1538"/>
      <c r="P65" s="1474" t="str">
        <f t="shared" si="53"/>
        <v>1.1.1</v>
      </c>
      <c r="Q65" s="1474" t="str">
        <f t="shared" si="64"/>
        <v>2.2.1.1</v>
      </c>
      <c r="R65" s="1474" t="str">
        <f t="shared" ref="R65:R87" si="68">IF($P$3=1,AH65,AX65)</f>
        <v>木質系住宅</v>
      </c>
      <c r="S65" s="1605">
        <f>IF($P$3=1,AI65,AY65)*S89</f>
        <v>1</v>
      </c>
      <c r="T65" s="1567"/>
      <c r="U65" s="1567"/>
      <c r="V65" s="1567"/>
      <c r="W65" s="1567"/>
      <c r="X65" s="1567"/>
      <c r="Y65" s="1567"/>
      <c r="Z65" s="1569"/>
      <c r="AA65" s="1567"/>
      <c r="AB65" s="1603"/>
      <c r="AC65" s="1604"/>
      <c r="AD65" s="1604"/>
      <c r="AE65" s="1546"/>
      <c r="AF65" s="1492"/>
      <c r="AG65" s="1492"/>
      <c r="AH65" s="1492"/>
      <c r="AI65" s="1496"/>
      <c r="AJ65" s="1496"/>
      <c r="AK65" s="1496"/>
      <c r="AL65" s="1496"/>
      <c r="AM65" s="1496"/>
      <c r="AN65" s="1496"/>
      <c r="AO65" s="1496"/>
      <c r="AP65" s="1549"/>
      <c r="AQ65" s="1496"/>
      <c r="AR65" s="1496"/>
      <c r="AS65" s="1496"/>
      <c r="AT65" s="1496"/>
      <c r="AU65" s="1543"/>
      <c r="AV65" s="1503" t="s">
        <v>465</v>
      </c>
      <c r="AW65" s="1503" t="s">
        <v>534</v>
      </c>
      <c r="AX65" s="1470" t="s">
        <v>509</v>
      </c>
      <c r="AY65" s="1504">
        <v>1</v>
      </c>
    </row>
    <row r="66" spans="2:51">
      <c r="B66" s="1469" t="str">
        <f t="shared" si="48"/>
        <v>1.1.2</v>
      </c>
      <c r="C66" s="1470" t="str">
        <f t="shared" si="62"/>
        <v>鉄骨系住宅</v>
      </c>
      <c r="D66" s="1471">
        <f t="shared" si="67"/>
        <v>0</v>
      </c>
      <c r="E66" s="1471">
        <f t="shared" si="67"/>
        <v>0</v>
      </c>
      <c r="F66" s="1576"/>
      <c r="G66" s="1483">
        <f t="shared" si="49"/>
        <v>0</v>
      </c>
      <c r="H66" s="1483">
        <f>L66*((T$7*T66)+(U$7*U66)+(V$7*V66)+(W$7*W66)+(X$7*X66)+(Y$7*Y66)+(Z$7*Z66)+(AA$7*AA66)+(AB$7*AB66))</f>
        <v>0</v>
      </c>
      <c r="I66" s="1483"/>
      <c r="J66" s="1483"/>
      <c r="K66" s="1483">
        <f>IF(スコア!O66=0,0,1)</f>
        <v>1</v>
      </c>
      <c r="L66" s="1483">
        <f>IF(スコア!T66=0,0,1)</f>
        <v>0</v>
      </c>
      <c r="M66" s="1483">
        <f t="shared" si="51"/>
        <v>0</v>
      </c>
      <c r="N66" s="1483">
        <f t="shared" si="52"/>
        <v>0</v>
      </c>
      <c r="O66" s="1538"/>
      <c r="P66" s="1474" t="str">
        <f t="shared" si="53"/>
        <v>1.1.2</v>
      </c>
      <c r="Q66" s="1474" t="str">
        <f t="shared" si="64"/>
        <v>2.2.1.1</v>
      </c>
      <c r="R66" s="1474" t="str">
        <f t="shared" si="68"/>
        <v>鉄骨系住宅</v>
      </c>
      <c r="S66" s="1605">
        <f>IF($P$3=1,AI66,AY66)*S90</f>
        <v>0</v>
      </c>
      <c r="T66" s="1567"/>
      <c r="U66" s="1567"/>
      <c r="V66" s="1567"/>
      <c r="W66" s="1567"/>
      <c r="X66" s="1567"/>
      <c r="Y66" s="1567"/>
      <c r="Z66" s="1569"/>
      <c r="AA66" s="1567"/>
      <c r="AB66" s="1603"/>
      <c r="AC66" s="1604"/>
      <c r="AD66" s="1604"/>
      <c r="AE66" s="1546"/>
      <c r="AF66" s="1492"/>
      <c r="AG66" s="1492"/>
      <c r="AH66" s="1492"/>
      <c r="AI66" s="1496"/>
      <c r="AJ66" s="1496"/>
      <c r="AK66" s="1496"/>
      <c r="AL66" s="1496"/>
      <c r="AM66" s="1496"/>
      <c r="AN66" s="1496"/>
      <c r="AO66" s="1496"/>
      <c r="AP66" s="1549"/>
      <c r="AQ66" s="1496"/>
      <c r="AR66" s="1496"/>
      <c r="AS66" s="1496"/>
      <c r="AT66" s="1496"/>
      <c r="AU66" s="1543"/>
      <c r="AV66" s="1503" t="s">
        <v>466</v>
      </c>
      <c r="AW66" s="1503" t="s">
        <v>534</v>
      </c>
      <c r="AX66" s="1470" t="s">
        <v>510</v>
      </c>
      <c r="AY66" s="1514">
        <v>1</v>
      </c>
    </row>
    <row r="67" spans="2:51">
      <c r="B67" s="1469" t="str">
        <f t="shared" si="48"/>
        <v>1.1.3</v>
      </c>
      <c r="C67" s="1470" t="str">
        <f t="shared" si="62"/>
        <v>コンクリート系住宅</v>
      </c>
      <c r="D67" s="1471">
        <f t="shared" si="67"/>
        <v>0</v>
      </c>
      <c r="E67" s="1471">
        <f t="shared" si="67"/>
        <v>0</v>
      </c>
      <c r="F67" s="1576"/>
      <c r="G67" s="1483">
        <f t="shared" si="49"/>
        <v>0</v>
      </c>
      <c r="H67" s="1483">
        <f>L67*((AB$7*AB67)+(AC$7*AC67)+(AD$7*AD67))</f>
        <v>0</v>
      </c>
      <c r="I67" s="1483"/>
      <c r="J67" s="1483"/>
      <c r="K67" s="1483">
        <f>IF(スコア!O67=0,0,1)</f>
        <v>1</v>
      </c>
      <c r="L67" s="1483">
        <f>IF(スコア!T67=0,0,1)</f>
        <v>0</v>
      </c>
      <c r="M67" s="1483">
        <f t="shared" si="51"/>
        <v>0</v>
      </c>
      <c r="N67" s="1483">
        <f t="shared" si="52"/>
        <v>0</v>
      </c>
      <c r="O67" s="1538"/>
      <c r="P67" s="1474" t="str">
        <f t="shared" si="53"/>
        <v>1.1.3</v>
      </c>
      <c r="Q67" s="1474" t="str">
        <f t="shared" si="64"/>
        <v>2.2.1.1</v>
      </c>
      <c r="R67" s="1474" t="str">
        <f t="shared" si="68"/>
        <v>コンクリート系住宅</v>
      </c>
      <c r="S67" s="1605">
        <f>IF($P$3=1,AI67,AY67)*S91</f>
        <v>0</v>
      </c>
      <c r="T67" s="1567"/>
      <c r="U67" s="1567"/>
      <c r="V67" s="1567"/>
      <c r="W67" s="1567"/>
      <c r="X67" s="1567"/>
      <c r="Y67" s="1567"/>
      <c r="Z67" s="1569"/>
      <c r="AA67" s="1567"/>
      <c r="AB67" s="1603"/>
      <c r="AC67" s="1604"/>
      <c r="AD67" s="1604"/>
      <c r="AE67" s="1546"/>
      <c r="AF67" s="1492"/>
      <c r="AG67" s="1492"/>
      <c r="AH67" s="1492"/>
      <c r="AI67" s="1496"/>
      <c r="AJ67" s="1496"/>
      <c r="AK67" s="1496"/>
      <c r="AL67" s="1496"/>
      <c r="AM67" s="1496"/>
      <c r="AN67" s="1496"/>
      <c r="AO67" s="1496"/>
      <c r="AP67" s="1549"/>
      <c r="AQ67" s="1496"/>
      <c r="AR67" s="1496"/>
      <c r="AS67" s="1496"/>
      <c r="AT67" s="1496"/>
      <c r="AU67" s="1543"/>
      <c r="AV67" s="1503" t="s">
        <v>526</v>
      </c>
      <c r="AW67" s="1503" t="s">
        <v>534</v>
      </c>
      <c r="AX67" s="1470" t="s">
        <v>511</v>
      </c>
      <c r="AY67" s="1504">
        <v>1</v>
      </c>
    </row>
    <row r="68" spans="2:51">
      <c r="B68" s="1469">
        <f t="shared" si="48"/>
        <v>1.2</v>
      </c>
      <c r="C68" s="1470" t="str">
        <f t="shared" si="62"/>
        <v>地盤補強材・地業・基礎</v>
      </c>
      <c r="D68" s="1471">
        <f>IF(I$63=0,0,G68/I$63)</f>
        <v>0.20000000000000004</v>
      </c>
      <c r="E68" s="1471">
        <f>IF(J$63=0,0,H68/J$63)</f>
        <v>0</v>
      </c>
      <c r="F68" s="1576"/>
      <c r="G68" s="1483">
        <f t="shared" si="49"/>
        <v>0.2</v>
      </c>
      <c r="H68" s="1483">
        <f>L68*((T$7*T68)+(U$7*U68)+(V$7*V68)+(W$7*W68)+(X$7*X68)+(Y$7*Y68)+(Z$7*Z68)+(AA$7*AA68)+(AB$7*AB68))</f>
        <v>0</v>
      </c>
      <c r="I68" s="1483"/>
      <c r="J68" s="1483"/>
      <c r="K68" s="1483">
        <f>IF(スコア!O68=0,0,1)</f>
        <v>1</v>
      </c>
      <c r="L68" s="1483">
        <f>IF(スコア!T68=0,0,1)</f>
        <v>0</v>
      </c>
      <c r="M68" s="1483">
        <f t="shared" si="51"/>
        <v>0.2</v>
      </c>
      <c r="N68" s="1483">
        <f t="shared" si="52"/>
        <v>0</v>
      </c>
      <c r="O68" s="1538"/>
      <c r="P68" s="1595">
        <f t="shared" si="53"/>
        <v>1.2</v>
      </c>
      <c r="Q68" s="1595" t="str">
        <f t="shared" si="64"/>
        <v>2.2.1</v>
      </c>
      <c r="R68" s="1474" t="str">
        <f t="shared" si="68"/>
        <v>地盤補強材・地業・基礎</v>
      </c>
      <c r="S68" s="1567">
        <f t="shared" ref="S68:S87" si="69">IF($P$3=1,AI68,AY68)</f>
        <v>0.2</v>
      </c>
      <c r="T68" s="1567">
        <f t="shared" ref="T68:AA68" si="70">IF($P$3=1,AJ68,AZ68)</f>
        <v>0</v>
      </c>
      <c r="U68" s="1567">
        <f t="shared" si="70"/>
        <v>0</v>
      </c>
      <c r="V68" s="1567">
        <f t="shared" si="70"/>
        <v>0</v>
      </c>
      <c r="W68" s="1567">
        <f t="shared" si="70"/>
        <v>0</v>
      </c>
      <c r="X68" s="1567">
        <f t="shared" si="70"/>
        <v>0</v>
      </c>
      <c r="Y68" s="1567">
        <f t="shared" si="70"/>
        <v>0</v>
      </c>
      <c r="Z68" s="1569">
        <f t="shared" si="70"/>
        <v>0</v>
      </c>
      <c r="AA68" s="1567">
        <f t="shared" si="70"/>
        <v>0</v>
      </c>
      <c r="AB68" s="1603">
        <f>IF($P$3=1,AR68,BH68)</f>
        <v>0</v>
      </c>
      <c r="AC68" s="1604">
        <f>IF($P$3=1,AS68,BI68)</f>
        <v>0</v>
      </c>
      <c r="AD68" s="1604">
        <f>IF($P$3=1,AT68,BJ68)</f>
        <v>0</v>
      </c>
      <c r="AE68" s="1546"/>
      <c r="AF68" s="1492"/>
      <c r="AG68" s="1492"/>
      <c r="AH68" s="1492"/>
      <c r="AI68" s="1496"/>
      <c r="AJ68" s="1496"/>
      <c r="AK68" s="1496"/>
      <c r="AL68" s="1496"/>
      <c r="AM68" s="1496"/>
      <c r="AN68" s="1496"/>
      <c r="AO68" s="1496"/>
      <c r="AP68" s="1549"/>
      <c r="AQ68" s="1496"/>
      <c r="AR68" s="1496"/>
      <c r="AS68" s="1496"/>
      <c r="AT68" s="1496"/>
      <c r="AU68" s="1543"/>
      <c r="AV68" s="1512">
        <v>1.2</v>
      </c>
      <c r="AW68" s="1503" t="s">
        <v>844</v>
      </c>
      <c r="AX68" s="1475" t="s">
        <v>512</v>
      </c>
      <c r="AY68" s="1504">
        <v>0.2</v>
      </c>
    </row>
    <row r="69" spans="2:51">
      <c r="B69" s="1474">
        <f t="shared" si="48"/>
        <v>1.3</v>
      </c>
      <c r="C69" s="1474" t="str">
        <f t="shared" si="62"/>
        <v>外装材</v>
      </c>
      <c r="D69" s="1478">
        <f t="shared" ref="D69:E71" si="71">IF(I$63=0,0,G69/I$63)</f>
        <v>0.20000000000000004</v>
      </c>
      <c r="E69" s="1478">
        <f t="shared" si="71"/>
        <v>0</v>
      </c>
      <c r="F69" s="1576"/>
      <c r="G69" s="1483">
        <f t="shared" si="49"/>
        <v>0.2</v>
      </c>
      <c r="H69" s="1483">
        <f>L69*((T$7*T69)+(U$7*U69)+(V$7*V69)+(W$7*W69)+(X$7*X69)+(Y$7*Y69)+(Z$7*Z69)+(AA$7*AA69)+(AB$7*AB69))</f>
        <v>0</v>
      </c>
      <c r="I69" s="1483"/>
      <c r="J69" s="1483"/>
      <c r="K69" s="1483">
        <f>IF(スコア!O69=0,0,1)</f>
        <v>1</v>
      </c>
      <c r="L69" s="1483">
        <f>IF(スコア!T69=0,0,1)</f>
        <v>0</v>
      </c>
      <c r="M69" s="1483">
        <f t="shared" si="51"/>
        <v>0.2</v>
      </c>
      <c r="N69" s="1483">
        <f t="shared" si="52"/>
        <v>0</v>
      </c>
      <c r="O69" s="1538"/>
      <c r="P69" s="1474">
        <f t="shared" si="53"/>
        <v>1.3</v>
      </c>
      <c r="Q69" s="1474" t="str">
        <f t="shared" si="64"/>
        <v>2.2.1</v>
      </c>
      <c r="R69" s="1474" t="str">
        <f t="shared" si="68"/>
        <v>外装材</v>
      </c>
      <c r="S69" s="1567">
        <f t="shared" si="69"/>
        <v>0.2</v>
      </c>
      <c r="T69" s="1567"/>
      <c r="U69" s="1567"/>
      <c r="V69" s="1567"/>
      <c r="W69" s="1567"/>
      <c r="X69" s="1567"/>
      <c r="Y69" s="1567"/>
      <c r="Z69" s="1569"/>
      <c r="AA69" s="1567"/>
      <c r="AB69" s="1603"/>
      <c r="AC69" s="1604"/>
      <c r="AD69" s="1604"/>
      <c r="AE69" s="1546"/>
      <c r="AF69" s="1492"/>
      <c r="AG69" s="1492"/>
      <c r="AH69" s="1492"/>
      <c r="AI69" s="1496"/>
      <c r="AJ69" s="1496"/>
      <c r="AK69" s="1496"/>
      <c r="AL69" s="1496"/>
      <c r="AM69" s="1496"/>
      <c r="AN69" s="1496"/>
      <c r="AO69" s="1496"/>
      <c r="AP69" s="1549"/>
      <c r="AQ69" s="1496"/>
      <c r="AR69" s="1496"/>
      <c r="AS69" s="1496"/>
      <c r="AT69" s="1496"/>
      <c r="AU69" s="1543"/>
      <c r="AV69" s="1503">
        <v>1.3</v>
      </c>
      <c r="AW69" s="1503" t="s">
        <v>844</v>
      </c>
      <c r="AX69" s="1470" t="s">
        <v>513</v>
      </c>
      <c r="AY69" s="1504">
        <v>0.2</v>
      </c>
    </row>
    <row r="70" spans="2:51">
      <c r="B70" s="1469">
        <f t="shared" si="48"/>
        <v>1.4</v>
      </c>
      <c r="C70" s="1470" t="str">
        <f t="shared" si="62"/>
        <v>内装材</v>
      </c>
      <c r="D70" s="1478">
        <f t="shared" si="71"/>
        <v>0.20000000000000004</v>
      </c>
      <c r="E70" s="1478">
        <f t="shared" si="71"/>
        <v>0</v>
      </c>
      <c r="F70" s="1576"/>
      <c r="G70" s="1483">
        <f t="shared" si="49"/>
        <v>0.2</v>
      </c>
      <c r="H70" s="1483">
        <f>L70*((T$7*T70)+(U$7*U70)+(V$7*V70)+(W$7*W70)+(X$7*X70)+(Y$7*Y70)+(Z$7*Z70)+(AA$7*AA70)+(AB$7*AB70))</f>
        <v>0</v>
      </c>
      <c r="I70" s="1483"/>
      <c r="J70" s="1483"/>
      <c r="K70" s="1483">
        <f>IF(スコア!O70=0,0,1)</f>
        <v>1</v>
      </c>
      <c r="L70" s="1483">
        <f>IF(スコア!T70=0,0,1)</f>
        <v>0</v>
      </c>
      <c r="M70" s="1483">
        <f t="shared" si="51"/>
        <v>0.2</v>
      </c>
      <c r="N70" s="1483">
        <f t="shared" si="52"/>
        <v>0</v>
      </c>
      <c r="O70" s="1538"/>
      <c r="P70" s="1474">
        <f t="shared" si="53"/>
        <v>1.4</v>
      </c>
      <c r="Q70" s="1474" t="str">
        <f t="shared" si="64"/>
        <v>2.2.1</v>
      </c>
      <c r="R70" s="1474" t="str">
        <f t="shared" si="68"/>
        <v>内装材</v>
      </c>
      <c r="S70" s="1567">
        <f t="shared" si="69"/>
        <v>0.2</v>
      </c>
      <c r="T70" s="1567"/>
      <c r="U70" s="1567"/>
      <c r="V70" s="1567"/>
      <c r="W70" s="1567"/>
      <c r="X70" s="1567"/>
      <c r="Y70" s="1567"/>
      <c r="Z70" s="1569"/>
      <c r="AA70" s="1567"/>
      <c r="AB70" s="1603"/>
      <c r="AC70" s="1604"/>
      <c r="AD70" s="1604"/>
      <c r="AE70" s="1546"/>
      <c r="AF70" s="1492"/>
      <c r="AG70" s="1492"/>
      <c r="AH70" s="1492"/>
      <c r="AI70" s="1496"/>
      <c r="AJ70" s="1496"/>
      <c r="AK70" s="1496"/>
      <c r="AL70" s="1496"/>
      <c r="AM70" s="1496"/>
      <c r="AN70" s="1496"/>
      <c r="AO70" s="1496"/>
      <c r="AP70" s="1549"/>
      <c r="AQ70" s="1496"/>
      <c r="AR70" s="1496"/>
      <c r="AS70" s="1496"/>
      <c r="AT70" s="1496"/>
      <c r="AU70" s="1543"/>
      <c r="AV70" s="1503">
        <v>1.4</v>
      </c>
      <c r="AW70" s="1503" t="s">
        <v>844</v>
      </c>
      <c r="AX70" s="1470" t="s">
        <v>514</v>
      </c>
      <c r="AY70" s="1504">
        <v>0.2</v>
      </c>
    </row>
    <row r="71" spans="2:51">
      <c r="B71" s="1469">
        <f t="shared" si="48"/>
        <v>1.5</v>
      </c>
      <c r="C71" s="1470" t="str">
        <f t="shared" si="62"/>
        <v>外構材</v>
      </c>
      <c r="D71" s="1478">
        <f t="shared" si="71"/>
        <v>0.10000000000000002</v>
      </c>
      <c r="E71" s="1478">
        <f t="shared" si="71"/>
        <v>0</v>
      </c>
      <c r="F71" s="1576"/>
      <c r="G71" s="1483">
        <f t="shared" si="49"/>
        <v>0.1</v>
      </c>
      <c r="H71" s="1483">
        <f>L71*((T$7*T71)+(U$7*U71)+(V$7*V71)+(W$7*W71)+(X$7*X71)+(Y$7*Y71)+(Z$7*Z71)+(AA$7*AA71)+(AB$7*AB71))</f>
        <v>0</v>
      </c>
      <c r="I71" s="1483"/>
      <c r="J71" s="1483"/>
      <c r="K71" s="1483">
        <f>IF(スコア!O71=0,0,1)</f>
        <v>1</v>
      </c>
      <c r="L71" s="1483">
        <f>IF(スコア!T71=0,0,1)</f>
        <v>0</v>
      </c>
      <c r="M71" s="1483">
        <f t="shared" si="51"/>
        <v>0.1</v>
      </c>
      <c r="N71" s="1483">
        <f t="shared" si="52"/>
        <v>0</v>
      </c>
      <c r="O71" s="1538"/>
      <c r="P71" s="1474">
        <f t="shared" si="53"/>
        <v>1.5</v>
      </c>
      <c r="Q71" s="1474" t="str">
        <f t="shared" si="64"/>
        <v>2.2.1</v>
      </c>
      <c r="R71" s="1474" t="str">
        <f t="shared" si="68"/>
        <v>外構材</v>
      </c>
      <c r="S71" s="1567">
        <f t="shared" si="69"/>
        <v>0.1</v>
      </c>
      <c r="T71" s="1567"/>
      <c r="U71" s="1567"/>
      <c r="V71" s="1567"/>
      <c r="W71" s="1567"/>
      <c r="X71" s="1567"/>
      <c r="Y71" s="1567"/>
      <c r="Z71" s="1569"/>
      <c r="AA71" s="1567"/>
      <c r="AB71" s="1603"/>
      <c r="AC71" s="1604"/>
      <c r="AD71" s="1604"/>
      <c r="AE71" s="1546"/>
      <c r="AF71" s="1492"/>
      <c r="AG71" s="1492"/>
      <c r="AH71" s="1492"/>
      <c r="AI71" s="1496"/>
      <c r="AJ71" s="1496"/>
      <c r="AK71" s="1496"/>
      <c r="AL71" s="1496"/>
      <c r="AM71" s="1496"/>
      <c r="AN71" s="1496"/>
      <c r="AO71" s="1496"/>
      <c r="AP71" s="1549"/>
      <c r="AQ71" s="1496"/>
      <c r="AR71" s="1496"/>
      <c r="AS71" s="1496"/>
      <c r="AT71" s="1496"/>
      <c r="AU71" s="1543"/>
      <c r="AV71" s="1503">
        <v>1.5</v>
      </c>
      <c r="AW71" s="1503" t="s">
        <v>844</v>
      </c>
      <c r="AX71" s="1470" t="s">
        <v>515</v>
      </c>
      <c r="AY71" s="1504">
        <v>0.1</v>
      </c>
    </row>
    <row r="72" spans="2:51">
      <c r="B72" s="1466">
        <f t="shared" ref="B72:B87" si="72">P72</f>
        <v>2</v>
      </c>
      <c r="C72" s="1467" t="str">
        <f t="shared" si="62"/>
        <v>生産・施工段階における廃棄物削減</v>
      </c>
      <c r="D72" s="1468">
        <f>IF(I$62=0,0,G72/I$62)</f>
        <v>0.30000000000000004</v>
      </c>
      <c r="E72" s="1468">
        <f>IF(J$62=0,0,H72/J$62)</f>
        <v>0</v>
      </c>
      <c r="F72" s="1576"/>
      <c r="G72" s="1476">
        <f t="shared" si="49"/>
        <v>0.3</v>
      </c>
      <c r="H72" s="1476">
        <f t="shared" ref="H72:H80" si="73">L72*((AB$7*AB72)+(AC$7*AC72)+(AD$7*AD72))</f>
        <v>0</v>
      </c>
      <c r="I72" s="1476">
        <f>G73+G74+G75</f>
        <v>0.99</v>
      </c>
      <c r="J72" s="1476">
        <f>H73+H74+H75</f>
        <v>0</v>
      </c>
      <c r="K72" s="1476">
        <f>IF(スコア!O72=0,0,1)</f>
        <v>1</v>
      </c>
      <c r="L72" s="1476">
        <f>IF(スコア!T72=0,0,1)</f>
        <v>0</v>
      </c>
      <c r="M72" s="1476">
        <f t="shared" si="51"/>
        <v>0.3</v>
      </c>
      <c r="N72" s="1476">
        <f t="shared" si="52"/>
        <v>0</v>
      </c>
      <c r="O72" s="1560"/>
      <c r="P72" s="1466">
        <f t="shared" si="53"/>
        <v>2</v>
      </c>
      <c r="Q72" s="1466" t="str">
        <f t="shared" si="64"/>
        <v>2.2</v>
      </c>
      <c r="R72" s="1466" t="str">
        <f t="shared" si="68"/>
        <v>生産・施工段階における廃棄物削減</v>
      </c>
      <c r="S72" s="1564">
        <f t="shared" si="69"/>
        <v>0.3</v>
      </c>
      <c r="T72" s="1564">
        <f t="shared" ref="T72:U75" si="74">IF($P$3=1,AJ72,AZ72)</f>
        <v>0</v>
      </c>
      <c r="U72" s="1564">
        <f t="shared" si="74"/>
        <v>0</v>
      </c>
      <c r="V72" s="1564">
        <f t="shared" ref="V72:AA75" si="75">IF($P$3=1,AL72,BB72)</f>
        <v>0</v>
      </c>
      <c r="W72" s="1564">
        <f t="shared" si="75"/>
        <v>0</v>
      </c>
      <c r="X72" s="1564">
        <f t="shared" si="75"/>
        <v>0</v>
      </c>
      <c r="Y72" s="1564">
        <f t="shared" si="75"/>
        <v>0</v>
      </c>
      <c r="Z72" s="1580">
        <f t="shared" si="75"/>
        <v>0</v>
      </c>
      <c r="AA72" s="1564">
        <f t="shared" si="75"/>
        <v>0</v>
      </c>
      <c r="AB72" s="1601">
        <f t="shared" ref="AB72:AD75" si="76">IF($P$3=1,AR72,BH72)</f>
        <v>0</v>
      </c>
      <c r="AC72" s="1602">
        <f t="shared" si="76"/>
        <v>0</v>
      </c>
      <c r="AD72" s="1602">
        <f t="shared" si="76"/>
        <v>0</v>
      </c>
      <c r="AE72" s="1546"/>
      <c r="AF72" s="1492"/>
      <c r="AG72" s="1492"/>
      <c r="AH72" s="1492"/>
      <c r="AI72" s="1496"/>
      <c r="AJ72" s="1496"/>
      <c r="AK72" s="1496"/>
      <c r="AL72" s="1496"/>
      <c r="AM72" s="1496"/>
      <c r="AN72" s="1496"/>
      <c r="AO72" s="1496"/>
      <c r="AP72" s="1549"/>
      <c r="AQ72" s="1496"/>
      <c r="AR72" s="1496"/>
      <c r="AS72" s="1496"/>
      <c r="AT72" s="1496"/>
      <c r="AU72" s="1543"/>
      <c r="AV72" s="1501">
        <v>2</v>
      </c>
      <c r="AW72" s="1501" t="s">
        <v>533</v>
      </c>
      <c r="AX72" s="1506" t="s">
        <v>516</v>
      </c>
      <c r="AY72" s="1508">
        <v>0.3</v>
      </c>
    </row>
    <row r="73" spans="2:51">
      <c r="B73" s="1469">
        <f t="shared" si="72"/>
        <v>2.1</v>
      </c>
      <c r="C73" s="1470" t="str">
        <f t="shared" si="62"/>
        <v>生産段階（構造躯体用部材）</v>
      </c>
      <c r="D73" s="1471">
        <f t="shared" ref="D73:E75" si="77">IF(I$72=0,0,G73/I$72)</f>
        <v>0.33333333333333337</v>
      </c>
      <c r="E73" s="1471">
        <f t="shared" si="77"/>
        <v>0</v>
      </c>
      <c r="F73" s="1576"/>
      <c r="G73" s="1483">
        <f t="shared" si="49"/>
        <v>0.33</v>
      </c>
      <c r="H73" s="1483">
        <f t="shared" si="73"/>
        <v>0</v>
      </c>
      <c r="I73" s="1483"/>
      <c r="J73" s="1483"/>
      <c r="K73" s="1483">
        <f>IF(スコア!O73=0,0,1)</f>
        <v>1</v>
      </c>
      <c r="L73" s="1483">
        <f>IF(スコア!T73=0,0,1)</f>
        <v>0</v>
      </c>
      <c r="M73" s="1483">
        <f t="shared" si="51"/>
        <v>0.33</v>
      </c>
      <c r="N73" s="1483">
        <f t="shared" si="52"/>
        <v>0</v>
      </c>
      <c r="O73" s="1538"/>
      <c r="P73" s="1474">
        <f t="shared" si="53"/>
        <v>2.1</v>
      </c>
      <c r="Q73" s="1474" t="str">
        <f t="shared" si="64"/>
        <v>2.2.2</v>
      </c>
      <c r="R73" s="1474" t="str">
        <f t="shared" si="68"/>
        <v>生産段階（構造躯体用部材）</v>
      </c>
      <c r="S73" s="1567">
        <f t="shared" si="69"/>
        <v>0.33</v>
      </c>
      <c r="T73" s="1567">
        <f t="shared" si="74"/>
        <v>0</v>
      </c>
      <c r="U73" s="1567">
        <f t="shared" si="74"/>
        <v>0</v>
      </c>
      <c r="V73" s="1567">
        <f t="shared" si="75"/>
        <v>0</v>
      </c>
      <c r="W73" s="1567">
        <f t="shared" si="75"/>
        <v>0</v>
      </c>
      <c r="X73" s="1567">
        <f t="shared" si="75"/>
        <v>0</v>
      </c>
      <c r="Y73" s="1567">
        <f t="shared" si="75"/>
        <v>0</v>
      </c>
      <c r="Z73" s="1569">
        <f t="shared" si="75"/>
        <v>0</v>
      </c>
      <c r="AA73" s="1567">
        <f t="shared" si="75"/>
        <v>0</v>
      </c>
      <c r="AB73" s="1603">
        <f t="shared" si="76"/>
        <v>0</v>
      </c>
      <c r="AC73" s="1604">
        <f t="shared" si="76"/>
        <v>0</v>
      </c>
      <c r="AD73" s="1604">
        <f t="shared" si="76"/>
        <v>0</v>
      </c>
      <c r="AE73" s="1546"/>
      <c r="AF73" s="1492"/>
      <c r="AG73" s="1492"/>
      <c r="AH73" s="1492"/>
      <c r="AI73" s="1496"/>
      <c r="AJ73" s="1496"/>
      <c r="AK73" s="1496"/>
      <c r="AL73" s="1496"/>
      <c r="AM73" s="1496"/>
      <c r="AN73" s="1496"/>
      <c r="AO73" s="1496"/>
      <c r="AP73" s="1549"/>
      <c r="AQ73" s="1496"/>
      <c r="AR73" s="1496"/>
      <c r="AS73" s="1496"/>
      <c r="AT73" s="1496"/>
      <c r="AU73" s="1543"/>
      <c r="AV73" s="1503">
        <v>2.1</v>
      </c>
      <c r="AW73" s="1503" t="s">
        <v>845</v>
      </c>
      <c r="AX73" s="1475" t="s">
        <v>546</v>
      </c>
      <c r="AY73" s="1504">
        <v>0.33</v>
      </c>
    </row>
    <row r="74" spans="2:51">
      <c r="B74" s="1469">
        <f t="shared" si="72"/>
        <v>2.2000000000000002</v>
      </c>
      <c r="C74" s="1470" t="str">
        <f t="shared" si="62"/>
        <v>生産段階（構造躯体用以外の部材）</v>
      </c>
      <c r="D74" s="1471">
        <f t="shared" si="77"/>
        <v>0.33333333333333337</v>
      </c>
      <c r="E74" s="1471">
        <f t="shared" si="77"/>
        <v>0</v>
      </c>
      <c r="F74" s="1596"/>
      <c r="G74" s="1483">
        <f t="shared" si="49"/>
        <v>0.33</v>
      </c>
      <c r="H74" s="1483">
        <f t="shared" si="73"/>
        <v>0</v>
      </c>
      <c r="I74" s="1483"/>
      <c r="J74" s="1483"/>
      <c r="K74" s="1483">
        <f>IF(スコア!O74=0,0,1)</f>
        <v>1</v>
      </c>
      <c r="L74" s="1483">
        <f>IF(スコア!T74=0,0,1)</f>
        <v>0</v>
      </c>
      <c r="M74" s="1483">
        <f t="shared" si="51"/>
        <v>0.33</v>
      </c>
      <c r="N74" s="1483">
        <f t="shared" si="52"/>
        <v>0</v>
      </c>
      <c r="O74" s="1538"/>
      <c r="P74" s="1474">
        <f t="shared" si="53"/>
        <v>2.2000000000000002</v>
      </c>
      <c r="Q74" s="1474" t="str">
        <f t="shared" si="64"/>
        <v>2.2.2</v>
      </c>
      <c r="R74" s="1474" t="str">
        <f t="shared" si="68"/>
        <v>生産段階（構造躯体用以外の部材）</v>
      </c>
      <c r="S74" s="1567">
        <f t="shared" si="69"/>
        <v>0.33</v>
      </c>
      <c r="T74" s="1567">
        <f t="shared" si="74"/>
        <v>0</v>
      </c>
      <c r="U74" s="1567">
        <f t="shared" si="74"/>
        <v>0</v>
      </c>
      <c r="V74" s="1567">
        <f t="shared" si="75"/>
        <v>0</v>
      </c>
      <c r="W74" s="1567">
        <f t="shared" si="75"/>
        <v>0</v>
      </c>
      <c r="X74" s="1567">
        <f t="shared" si="75"/>
        <v>0</v>
      </c>
      <c r="Y74" s="1567">
        <f t="shared" si="75"/>
        <v>0</v>
      </c>
      <c r="Z74" s="1569">
        <f t="shared" si="75"/>
        <v>0</v>
      </c>
      <c r="AA74" s="1567">
        <f t="shared" si="75"/>
        <v>0</v>
      </c>
      <c r="AB74" s="1603">
        <f t="shared" si="76"/>
        <v>0</v>
      </c>
      <c r="AC74" s="1604">
        <f t="shared" si="76"/>
        <v>0</v>
      </c>
      <c r="AD74" s="1604">
        <f t="shared" si="76"/>
        <v>0</v>
      </c>
      <c r="AE74" s="1546"/>
      <c r="AF74" s="1492"/>
      <c r="AG74" s="1492"/>
      <c r="AH74" s="1492"/>
      <c r="AI74" s="1496"/>
      <c r="AJ74" s="1496"/>
      <c r="AK74" s="1496"/>
      <c r="AL74" s="1496"/>
      <c r="AM74" s="1496"/>
      <c r="AN74" s="1496"/>
      <c r="AO74" s="1496"/>
      <c r="AP74" s="1549"/>
      <c r="AQ74" s="1496"/>
      <c r="AR74" s="1496"/>
      <c r="AS74" s="1496"/>
      <c r="AT74" s="1496"/>
      <c r="AU74" s="1543"/>
      <c r="AV74" s="1503">
        <v>2.2000000000000002</v>
      </c>
      <c r="AW74" s="1503" t="s">
        <v>845</v>
      </c>
      <c r="AX74" s="1470" t="s">
        <v>545</v>
      </c>
      <c r="AY74" s="1504">
        <v>0.33</v>
      </c>
    </row>
    <row r="75" spans="2:51">
      <c r="B75" s="1469">
        <f t="shared" si="72"/>
        <v>2.2999999999999998</v>
      </c>
      <c r="C75" s="1470" t="str">
        <f t="shared" si="62"/>
        <v>施工段階</v>
      </c>
      <c r="D75" s="1471">
        <f t="shared" si="77"/>
        <v>0.33333333333333337</v>
      </c>
      <c r="E75" s="1471">
        <f t="shared" si="77"/>
        <v>0</v>
      </c>
      <c r="F75" s="1597"/>
      <c r="G75" s="1483">
        <f t="shared" si="49"/>
        <v>0.33</v>
      </c>
      <c r="H75" s="1483">
        <f t="shared" si="73"/>
        <v>0</v>
      </c>
      <c r="I75" s="1483"/>
      <c r="J75" s="1483"/>
      <c r="K75" s="1483">
        <f>IF(スコア!O75=0,0,1)</f>
        <v>1</v>
      </c>
      <c r="L75" s="1483">
        <f>IF(スコア!T75=0,0,1)</f>
        <v>0</v>
      </c>
      <c r="M75" s="1483">
        <f t="shared" si="51"/>
        <v>0.33</v>
      </c>
      <c r="N75" s="1483">
        <f t="shared" si="52"/>
        <v>0</v>
      </c>
      <c r="O75" s="1538"/>
      <c r="P75" s="1474">
        <f t="shared" si="53"/>
        <v>2.2999999999999998</v>
      </c>
      <c r="Q75" s="1474" t="str">
        <f t="shared" si="64"/>
        <v>2.2.2</v>
      </c>
      <c r="R75" s="1474" t="str">
        <f t="shared" si="68"/>
        <v>施工段階</v>
      </c>
      <c r="S75" s="1567">
        <f t="shared" si="69"/>
        <v>0.33</v>
      </c>
      <c r="T75" s="1567">
        <f t="shared" si="74"/>
        <v>0</v>
      </c>
      <c r="U75" s="1567">
        <f t="shared" si="74"/>
        <v>0</v>
      </c>
      <c r="V75" s="1567">
        <f t="shared" si="75"/>
        <v>0</v>
      </c>
      <c r="W75" s="1567">
        <f t="shared" si="75"/>
        <v>0</v>
      </c>
      <c r="X75" s="1567">
        <f t="shared" si="75"/>
        <v>0</v>
      </c>
      <c r="Y75" s="1567">
        <f t="shared" si="75"/>
        <v>0</v>
      </c>
      <c r="Z75" s="1569">
        <f t="shared" si="75"/>
        <v>0</v>
      </c>
      <c r="AA75" s="1567">
        <f t="shared" si="75"/>
        <v>0</v>
      </c>
      <c r="AB75" s="1603">
        <f t="shared" si="76"/>
        <v>0</v>
      </c>
      <c r="AC75" s="1604">
        <f t="shared" si="76"/>
        <v>0</v>
      </c>
      <c r="AD75" s="1604">
        <f t="shared" si="76"/>
        <v>0</v>
      </c>
      <c r="AE75" s="1546"/>
      <c r="AF75" s="1492"/>
      <c r="AG75" s="1492"/>
      <c r="AH75" s="1492"/>
      <c r="AI75" s="1496"/>
      <c r="AJ75" s="1496"/>
      <c r="AK75" s="1496"/>
      <c r="AL75" s="1496"/>
      <c r="AM75" s="1496"/>
      <c r="AN75" s="1496"/>
      <c r="AO75" s="1496"/>
      <c r="AP75" s="1549"/>
      <c r="AQ75" s="1496"/>
      <c r="AR75" s="1496"/>
      <c r="AS75" s="1496"/>
      <c r="AT75" s="1496"/>
      <c r="AU75" s="1543"/>
      <c r="AV75" s="1503">
        <v>2.2999999999999998</v>
      </c>
      <c r="AW75" s="1503" t="s">
        <v>845</v>
      </c>
      <c r="AX75" s="1475" t="s">
        <v>517</v>
      </c>
      <c r="AY75" s="1504">
        <v>0.33</v>
      </c>
    </row>
    <row r="76" spans="2:51">
      <c r="B76" s="1466">
        <f t="shared" si="72"/>
        <v>3</v>
      </c>
      <c r="C76" s="1467" t="str">
        <f t="shared" si="62"/>
        <v>リサイクルの促進</v>
      </c>
      <c r="D76" s="1468">
        <f>IF(I$62=0,0,G76/I$62)</f>
        <v>0.10000000000000002</v>
      </c>
      <c r="E76" s="1468">
        <f>IF(J$62=0,0,H76/J$62)</f>
        <v>0</v>
      </c>
      <c r="F76" s="1559"/>
      <c r="G76" s="1476">
        <f t="shared" si="49"/>
        <v>0.1</v>
      </c>
      <c r="H76" s="1476">
        <f t="shared" si="73"/>
        <v>0</v>
      </c>
      <c r="I76" s="1476">
        <f>G77+G78</f>
        <v>1</v>
      </c>
      <c r="J76" s="1476">
        <f>H77+H78</f>
        <v>0</v>
      </c>
      <c r="K76" s="1476">
        <f>IF(スコア!O76=0,0,1)</f>
        <v>1</v>
      </c>
      <c r="L76" s="1476">
        <f>IF(スコア!T76=0,0,1)</f>
        <v>0</v>
      </c>
      <c r="M76" s="1476">
        <f t="shared" si="51"/>
        <v>0.1</v>
      </c>
      <c r="N76" s="1476">
        <f t="shared" si="52"/>
        <v>0</v>
      </c>
      <c r="O76" s="1560"/>
      <c r="P76" s="1466">
        <f t="shared" ref="P76:P87" si="78">IF($P$3=1,AF76,AV76)</f>
        <v>3</v>
      </c>
      <c r="Q76" s="1466" t="str">
        <f t="shared" ref="Q76:Q85" si="79">IF($P$3=1,AG76,AW76)</f>
        <v>2.2</v>
      </c>
      <c r="R76" s="1466" t="str">
        <f t="shared" si="68"/>
        <v>リサイクルの促進</v>
      </c>
      <c r="S76" s="1577">
        <f t="shared" si="69"/>
        <v>0.1</v>
      </c>
      <c r="T76" s="1577"/>
      <c r="U76" s="1577"/>
      <c r="V76" s="1577"/>
      <c r="W76" s="1577"/>
      <c r="X76" s="1577"/>
      <c r="Y76" s="1577"/>
      <c r="Z76" s="1565"/>
      <c r="AA76" s="1577"/>
      <c r="AB76" s="1601"/>
      <c r="AC76" s="1602"/>
      <c r="AD76" s="1602"/>
      <c r="AE76" s="1572"/>
      <c r="AF76" s="1497"/>
      <c r="AG76" s="1497"/>
      <c r="AH76" s="1497"/>
      <c r="AI76" s="1573"/>
      <c r="AJ76" s="1573"/>
      <c r="AK76" s="1573"/>
      <c r="AL76" s="1573"/>
      <c r="AM76" s="1573"/>
      <c r="AN76" s="1573"/>
      <c r="AO76" s="1573"/>
      <c r="AP76" s="1574"/>
      <c r="AQ76" s="1573"/>
      <c r="AR76" s="1573"/>
      <c r="AS76" s="1573"/>
      <c r="AT76" s="1573"/>
      <c r="AU76" s="1575"/>
      <c r="AV76" s="1501">
        <v>3</v>
      </c>
      <c r="AW76" s="1501" t="s">
        <v>533</v>
      </c>
      <c r="AX76" s="1506" t="s">
        <v>535</v>
      </c>
      <c r="AY76" s="1508">
        <v>0.1</v>
      </c>
    </row>
    <row r="77" spans="2:51">
      <c r="B77" s="1474">
        <f t="shared" si="72"/>
        <v>3.1</v>
      </c>
      <c r="C77" s="1474" t="str">
        <f t="shared" si="62"/>
        <v>使用材料の情報提供</v>
      </c>
      <c r="D77" s="1471">
        <f>IF(I$76=0,0,G77/I$76)</f>
        <v>1</v>
      </c>
      <c r="E77" s="1471">
        <f>IF(J$76=0,0,H77/J$76)</f>
        <v>0</v>
      </c>
      <c r="F77" s="1534"/>
      <c r="G77" s="1483">
        <f t="shared" si="49"/>
        <v>1</v>
      </c>
      <c r="H77" s="1483">
        <f t="shared" si="73"/>
        <v>0</v>
      </c>
      <c r="I77" s="1483"/>
      <c r="J77" s="1483"/>
      <c r="K77" s="1483">
        <f>IF(スコア!O77=0,0,1)</f>
        <v>1</v>
      </c>
      <c r="L77" s="1483">
        <f>IF(スコア!T77=0,0,1)</f>
        <v>0</v>
      </c>
      <c r="M77" s="1483">
        <f t="shared" si="51"/>
        <v>1</v>
      </c>
      <c r="N77" s="1483">
        <f t="shared" si="52"/>
        <v>0</v>
      </c>
      <c r="O77" s="1538"/>
      <c r="P77" s="1474">
        <f t="shared" si="78"/>
        <v>3.1</v>
      </c>
      <c r="Q77" s="1474" t="str">
        <f t="shared" si="79"/>
        <v>2.2.3</v>
      </c>
      <c r="R77" s="1474" t="str">
        <f t="shared" si="68"/>
        <v>使用材料の情報提供</v>
      </c>
      <c r="S77" s="1567">
        <f t="shared" si="69"/>
        <v>1</v>
      </c>
      <c r="T77" s="1567"/>
      <c r="U77" s="1567"/>
      <c r="V77" s="1567"/>
      <c r="W77" s="1567"/>
      <c r="X77" s="1567"/>
      <c r="Y77" s="1567"/>
      <c r="Z77" s="1569"/>
      <c r="AA77" s="1567"/>
      <c r="AB77" s="1603"/>
      <c r="AC77" s="1604"/>
      <c r="AD77" s="1604"/>
      <c r="AE77" s="1546"/>
      <c r="AF77" s="1492"/>
      <c r="AG77" s="1492"/>
      <c r="AH77" s="1492"/>
      <c r="AI77" s="1496"/>
      <c r="AJ77" s="1496"/>
      <c r="AK77" s="1496"/>
      <c r="AL77" s="1496"/>
      <c r="AM77" s="1496"/>
      <c r="AN77" s="1496"/>
      <c r="AO77" s="1496"/>
      <c r="AP77" s="1549"/>
      <c r="AQ77" s="1496"/>
      <c r="AR77" s="1496"/>
      <c r="AS77" s="1496"/>
      <c r="AT77" s="1496"/>
      <c r="AU77" s="1543"/>
      <c r="AV77" s="1503">
        <v>3.1</v>
      </c>
      <c r="AW77" s="1503" t="s">
        <v>536</v>
      </c>
      <c r="AX77" s="1470" t="s">
        <v>518</v>
      </c>
      <c r="AY77" s="1504">
        <v>1</v>
      </c>
    </row>
    <row r="78" spans="2:51" ht="12.75" hidden="1" customHeight="1">
      <c r="B78" s="1474" t="str">
        <f t="shared" si="72"/>
        <v>3.2</v>
      </c>
      <c r="C78" s="1474" t="str">
        <f>R78</f>
        <v>評価しない</v>
      </c>
      <c r="D78" s="1471">
        <f>IF(I$76=0,0,G78/I$76)</f>
        <v>0</v>
      </c>
      <c r="E78" s="1471">
        <f>IF(J$76=0,0,H78/J$76)</f>
        <v>0</v>
      </c>
      <c r="F78" s="1534"/>
      <c r="G78" s="1483">
        <f t="shared" si="49"/>
        <v>0</v>
      </c>
      <c r="H78" s="1483">
        <f t="shared" si="73"/>
        <v>0</v>
      </c>
      <c r="I78" s="1483"/>
      <c r="J78" s="1483"/>
      <c r="K78" s="1483">
        <f>IF(スコア!O78=0,0,1)</f>
        <v>0</v>
      </c>
      <c r="L78" s="1483">
        <f>IF(スコア!T78=0,0,1)</f>
        <v>0</v>
      </c>
      <c r="M78" s="1483">
        <f t="shared" si="51"/>
        <v>0</v>
      </c>
      <c r="N78" s="1483">
        <f t="shared" si="52"/>
        <v>0</v>
      </c>
      <c r="O78" s="1538"/>
      <c r="P78" s="1474" t="str">
        <f>IF($P$3=1,AF78,AV78)</f>
        <v>3.2</v>
      </c>
      <c r="Q78" s="1474" t="str">
        <f>IF($P$3=1,AG78,AW78)</f>
        <v>2.2.3</v>
      </c>
      <c r="R78" s="1474" t="str">
        <f>IF($P$3=1,AH78,AX78)</f>
        <v>評価しない</v>
      </c>
      <c r="S78" s="1567">
        <f>IF($P$3=1,AI78,AY78)</f>
        <v>0</v>
      </c>
      <c r="T78" s="1567"/>
      <c r="U78" s="1567"/>
      <c r="V78" s="1567"/>
      <c r="W78" s="1567"/>
      <c r="X78" s="1567"/>
      <c r="Y78" s="1567"/>
      <c r="Z78" s="1569"/>
      <c r="AA78" s="1567"/>
      <c r="AB78" s="1603"/>
      <c r="AC78" s="1604"/>
      <c r="AD78" s="1604"/>
      <c r="AE78" s="1546"/>
      <c r="AF78" s="1492"/>
      <c r="AG78" s="1492"/>
      <c r="AH78" s="1492"/>
      <c r="AI78" s="1496"/>
      <c r="AJ78" s="1496"/>
      <c r="AK78" s="1496"/>
      <c r="AL78" s="1496"/>
      <c r="AM78" s="1496"/>
      <c r="AN78" s="1496"/>
      <c r="AO78" s="1496"/>
      <c r="AP78" s="1549"/>
      <c r="AQ78" s="1496"/>
      <c r="AR78" s="1496"/>
      <c r="AS78" s="1496"/>
      <c r="AT78" s="1496"/>
      <c r="AU78" s="1543"/>
      <c r="AV78" s="1503" t="s">
        <v>429</v>
      </c>
      <c r="AW78" s="1503" t="s">
        <v>536</v>
      </c>
      <c r="AX78" s="1470" t="s">
        <v>92</v>
      </c>
      <c r="AY78" s="1504"/>
    </row>
    <row r="79" spans="2:51">
      <c r="B79" s="1463" t="s">
        <v>430</v>
      </c>
      <c r="C79" s="1464" t="str">
        <f t="shared" si="62"/>
        <v>地球・地域・周辺環境に配慮する</v>
      </c>
      <c r="D79" s="1477" t="e">
        <f>IF(I$51=0,0,G79/I$51)</f>
        <v>#VALUE!</v>
      </c>
      <c r="E79" s="1477">
        <f>IF(J$51=0,0,H79/J$51)</f>
        <v>0</v>
      </c>
      <c r="F79" s="1576"/>
      <c r="G79" s="1482" t="e">
        <f t="shared" si="49"/>
        <v>#VALUE!</v>
      </c>
      <c r="H79" s="1482">
        <f t="shared" si="73"/>
        <v>0</v>
      </c>
      <c r="I79" s="1482" t="e">
        <f>G80+G85+G82</f>
        <v>#VALUE!</v>
      </c>
      <c r="J79" s="1482">
        <f>H86+H87+H83+H84</f>
        <v>0</v>
      </c>
      <c r="K79" s="1482" t="e">
        <f>IF(スコア!S79=0,0,1)</f>
        <v>#VALUE!</v>
      </c>
      <c r="L79" s="1482">
        <f>IF(スコア!T79=0,0,1)</f>
        <v>0</v>
      </c>
      <c r="M79" s="1482">
        <f t="shared" si="51"/>
        <v>0.3</v>
      </c>
      <c r="N79" s="1482">
        <f t="shared" si="52"/>
        <v>0</v>
      </c>
      <c r="O79" s="1560"/>
      <c r="P79" s="1464" t="str">
        <f t="shared" si="78"/>
        <v>LRH3</v>
      </c>
      <c r="Q79" s="1464" t="str">
        <f t="shared" si="79"/>
        <v>2</v>
      </c>
      <c r="R79" s="1561" t="str">
        <f t="shared" si="68"/>
        <v>地球・地域・周辺環境に配慮する</v>
      </c>
      <c r="S79" s="1562">
        <f t="shared" si="69"/>
        <v>0.3</v>
      </c>
      <c r="T79" s="1562">
        <f t="shared" ref="T79:AA79" si="80">IF($P$3=1,AJ79,AZ79)</f>
        <v>0</v>
      </c>
      <c r="U79" s="1562">
        <f t="shared" si="80"/>
        <v>0</v>
      </c>
      <c r="V79" s="1562">
        <f t="shared" si="80"/>
        <v>0</v>
      </c>
      <c r="W79" s="1562">
        <f t="shared" si="80"/>
        <v>0</v>
      </c>
      <c r="X79" s="1562">
        <f t="shared" si="80"/>
        <v>0</v>
      </c>
      <c r="Y79" s="1562">
        <f t="shared" si="80"/>
        <v>0</v>
      </c>
      <c r="Z79" s="1562">
        <f t="shared" si="80"/>
        <v>0</v>
      </c>
      <c r="AA79" s="1562">
        <f t="shared" si="80"/>
        <v>0</v>
      </c>
      <c r="AB79" s="1599">
        <f>IF($P$3=1,AR79,BH79)</f>
        <v>0</v>
      </c>
      <c r="AC79" s="1600">
        <f>IF($P$3=1,AS79,BI79)</f>
        <v>0</v>
      </c>
      <c r="AD79" s="1600">
        <f>IF($P$3=1,AT79,BJ79)</f>
        <v>0</v>
      </c>
      <c r="AE79" s="1572"/>
      <c r="AF79" s="1497"/>
      <c r="AG79" s="1497"/>
      <c r="AH79" s="1497"/>
      <c r="AI79" s="1573"/>
      <c r="AJ79" s="1573"/>
      <c r="AK79" s="1573"/>
      <c r="AL79" s="1573"/>
      <c r="AM79" s="1573"/>
      <c r="AN79" s="1573"/>
      <c r="AO79" s="1573"/>
      <c r="AP79" s="1574"/>
      <c r="AQ79" s="1573"/>
      <c r="AR79" s="1573"/>
      <c r="AS79" s="1573"/>
      <c r="AT79" s="1573"/>
      <c r="AU79" s="1575"/>
      <c r="AV79" s="1463" t="s">
        <v>430</v>
      </c>
      <c r="AW79" s="1513" t="s">
        <v>531</v>
      </c>
      <c r="AX79" s="1464" t="s">
        <v>214</v>
      </c>
      <c r="AY79" s="1500">
        <v>0.3</v>
      </c>
    </row>
    <row r="80" spans="2:51">
      <c r="B80" s="1466" t="str">
        <f t="shared" si="72"/>
        <v>1</v>
      </c>
      <c r="C80" s="1467" t="str">
        <f t="shared" si="62"/>
        <v>地球環境への配慮</v>
      </c>
      <c r="D80" s="1468" t="e">
        <f>IF(I$79=0,0,G80/I$79)</f>
        <v>#VALUE!</v>
      </c>
      <c r="E80" s="1468">
        <f>IF(J$44=0,0,H80/J$44)</f>
        <v>0</v>
      </c>
      <c r="F80" s="1559"/>
      <c r="G80" s="1476" t="e">
        <f t="shared" ref="G80:G87" si="81">K80*((S$7*S80)+(T$7*T80)+(U$7*U80)+(V$7*V80)+(W$7*W80)+(X$7*X80)+(Y$7*Y80)+(Z$7*Z80)+(AA$7*AA80))</f>
        <v>#VALUE!</v>
      </c>
      <c r="H80" s="1476">
        <f t="shared" si="73"/>
        <v>0</v>
      </c>
      <c r="I80" s="1476"/>
      <c r="J80" s="1476">
        <f>H81</f>
        <v>0</v>
      </c>
      <c r="K80" s="1476" t="e">
        <f>IF(スコア!O80=0,0,1)</f>
        <v>#VALUE!</v>
      </c>
      <c r="L80" s="1476">
        <f>IF(スコア!T80=0,0,1)</f>
        <v>0</v>
      </c>
      <c r="M80" s="1476">
        <f t="shared" si="51"/>
        <v>0.33333333333333331</v>
      </c>
      <c r="N80" s="1476">
        <f t="shared" si="52"/>
        <v>0</v>
      </c>
      <c r="O80" s="1560"/>
      <c r="P80" s="1594" t="str">
        <f t="shared" si="78"/>
        <v>1</v>
      </c>
      <c r="Q80" s="1594" t="str">
        <f t="shared" si="79"/>
        <v>2.3</v>
      </c>
      <c r="R80" s="1466" t="str">
        <f t="shared" si="68"/>
        <v>地球環境への配慮</v>
      </c>
      <c r="S80" s="1577">
        <f t="shared" si="69"/>
        <v>0.33333333333333331</v>
      </c>
      <c r="T80" s="1577"/>
      <c r="U80" s="1577"/>
      <c r="V80" s="1577"/>
      <c r="W80" s="1577"/>
      <c r="X80" s="1577"/>
      <c r="Y80" s="1577"/>
      <c r="Z80" s="1565"/>
      <c r="AA80" s="1577"/>
      <c r="AB80" s="1578"/>
      <c r="AC80" s="1577"/>
      <c r="AD80" s="1577"/>
      <c r="AE80" s="1572"/>
      <c r="AF80" s="1497"/>
      <c r="AG80" s="1497"/>
      <c r="AH80" s="1497"/>
      <c r="AI80" s="1573"/>
      <c r="AJ80" s="1573"/>
      <c r="AK80" s="1573"/>
      <c r="AL80" s="1573"/>
      <c r="AM80" s="1573"/>
      <c r="AN80" s="1573"/>
      <c r="AO80" s="1573"/>
      <c r="AP80" s="1574"/>
      <c r="AQ80" s="1573"/>
      <c r="AR80" s="1573"/>
      <c r="AS80" s="1573"/>
      <c r="AT80" s="1573"/>
      <c r="AU80" s="1575"/>
      <c r="AV80" s="1501" t="s">
        <v>431</v>
      </c>
      <c r="AW80" s="1501" t="s">
        <v>432</v>
      </c>
      <c r="AX80" s="1515" t="s">
        <v>549</v>
      </c>
      <c r="AY80" s="1508">
        <f>1/3</f>
        <v>0.33333333333333331</v>
      </c>
    </row>
    <row r="81" spans="2:51">
      <c r="B81" s="1474">
        <v>1.1000000000000001</v>
      </c>
      <c r="C81" s="1475" t="s">
        <v>548</v>
      </c>
      <c r="D81" s="1471" t="e">
        <f>IF(I$79=0,0,G81/I$79)</f>
        <v>#VALUE!</v>
      </c>
      <c r="E81" s="1471"/>
      <c r="F81" s="1534"/>
      <c r="G81" s="1483">
        <f>K81*((S$7*S81)+(T$7*T81)+(U$7*U81)+(V$7*V81)+(W$7*W81)+(X$7*X81)+(Y$7*Y81)+(Z$7*Z81)+(AA$7*AA81))</f>
        <v>1</v>
      </c>
      <c r="H81" s="1483">
        <f>L81*((AB$7*AB81)+(AC$7*AC81)+(AD$7*AD81))</f>
        <v>0</v>
      </c>
      <c r="I81" s="1483"/>
      <c r="J81" s="1483"/>
      <c r="K81" s="1483">
        <f>IF(スコア!O81=0,0,1)</f>
        <v>1</v>
      </c>
      <c r="L81" s="1483"/>
      <c r="M81" s="1483"/>
      <c r="N81" s="1483"/>
      <c r="O81" s="1538"/>
      <c r="P81" s="1595" t="str">
        <f t="shared" si="78"/>
        <v>1.1</v>
      </c>
      <c r="Q81" s="1595" t="str">
        <f t="shared" si="79"/>
        <v>2.3.1</v>
      </c>
      <c r="R81" s="1474" t="str">
        <f t="shared" si="68"/>
        <v>地球温暖化への配慮</v>
      </c>
      <c r="S81" s="1567">
        <f t="shared" si="69"/>
        <v>1</v>
      </c>
      <c r="T81" s="1567"/>
      <c r="U81" s="1567"/>
      <c r="V81" s="1567"/>
      <c r="W81" s="1567"/>
      <c r="X81" s="1567"/>
      <c r="Y81" s="1567"/>
      <c r="Z81" s="1569"/>
      <c r="AA81" s="1567"/>
      <c r="AB81" s="1568"/>
      <c r="AC81" s="1567"/>
      <c r="AD81" s="1567"/>
      <c r="AE81" s="1546"/>
      <c r="AF81" s="1606"/>
      <c r="AG81" s="1606"/>
      <c r="AH81" s="1606"/>
      <c r="AI81" s="1496"/>
      <c r="AJ81" s="1496"/>
      <c r="AK81" s="1496"/>
      <c r="AL81" s="1496"/>
      <c r="AM81" s="1496"/>
      <c r="AN81" s="1496"/>
      <c r="AO81" s="1496"/>
      <c r="AP81" s="1549"/>
      <c r="AQ81" s="1496"/>
      <c r="AR81" s="1496"/>
      <c r="AS81" s="1496"/>
      <c r="AT81" s="1496"/>
      <c r="AU81" s="1607"/>
      <c r="AV81" s="1503" t="s">
        <v>656</v>
      </c>
      <c r="AW81" s="1503" t="s">
        <v>657</v>
      </c>
      <c r="AX81" s="1516" t="s">
        <v>250</v>
      </c>
      <c r="AY81" s="1504">
        <v>1</v>
      </c>
    </row>
    <row r="82" spans="2:51">
      <c r="B82" s="1466" t="str">
        <f t="shared" si="72"/>
        <v>2</v>
      </c>
      <c r="C82" s="1467" t="str">
        <f>R82</f>
        <v>地域環境への配慮</v>
      </c>
      <c r="D82" s="1468" t="e">
        <f>IF(I$79=0,0,G82/I$79)</f>
        <v>#VALUE!</v>
      </c>
      <c r="E82" s="1468">
        <f>IF(J$62=0,0,H82/J$62)</f>
        <v>0</v>
      </c>
      <c r="F82" s="1559"/>
      <c r="G82" s="1476">
        <f>K82*((S$7*S82)+(T$7*T82)+(U$7*U82)+(V$7*V82)+(W$7*W82)+(X$7*X82)+(Y$7*Y82)+(Z$7*Z82)+(AA$7*AA82))</f>
        <v>0.33333333333333331</v>
      </c>
      <c r="H82" s="1476">
        <f t="shared" ref="H82:H87" si="82">L82*((AB$7*AB82)+(AC$7*AC82)+(AD$7*AD82))</f>
        <v>0</v>
      </c>
      <c r="I82" s="1476">
        <f>G83+G84</f>
        <v>1</v>
      </c>
      <c r="J82" s="1476">
        <f>H83+H84</f>
        <v>0</v>
      </c>
      <c r="K82" s="1476">
        <f>IF(スコア!O81=0,0,1)</f>
        <v>1</v>
      </c>
      <c r="L82" s="1476">
        <f>IF(スコア!T81=0,0,1)</f>
        <v>0</v>
      </c>
      <c r="M82" s="1476">
        <f t="shared" si="51"/>
        <v>0.33333333333333331</v>
      </c>
      <c r="N82" s="1476">
        <f t="shared" si="52"/>
        <v>0</v>
      </c>
      <c r="O82" s="1560"/>
      <c r="P82" s="1466" t="str">
        <f t="shared" ref="P82:S84" si="83">IF($P$3=1,AF82,AV82)</f>
        <v>2</v>
      </c>
      <c r="Q82" s="1594" t="str">
        <f t="shared" si="83"/>
        <v>2.3</v>
      </c>
      <c r="R82" s="1466" t="str">
        <f t="shared" si="83"/>
        <v>地域環境への配慮</v>
      </c>
      <c r="S82" s="1577">
        <f t="shared" si="83"/>
        <v>0.33333333333333331</v>
      </c>
      <c r="T82" s="1564"/>
      <c r="U82" s="1564"/>
      <c r="V82" s="1564"/>
      <c r="W82" s="1564"/>
      <c r="X82" s="1564"/>
      <c r="Y82" s="1564"/>
      <c r="Z82" s="1580"/>
      <c r="AA82" s="1564"/>
      <c r="AB82" s="1566"/>
      <c r="AC82" s="1564"/>
      <c r="AD82" s="1564"/>
      <c r="AE82" s="1572"/>
      <c r="AF82" s="1497"/>
      <c r="AG82" s="1497"/>
      <c r="AH82" s="1497"/>
      <c r="AI82" s="1573"/>
      <c r="AJ82" s="1573"/>
      <c r="AK82" s="1573"/>
      <c r="AL82" s="1573"/>
      <c r="AM82" s="1573"/>
      <c r="AN82" s="1573"/>
      <c r="AO82" s="1573"/>
      <c r="AP82" s="1574"/>
      <c r="AQ82" s="1573"/>
      <c r="AR82" s="1573"/>
      <c r="AS82" s="1573"/>
      <c r="AT82" s="1573"/>
      <c r="AU82" s="1575"/>
      <c r="AV82" s="1501" t="s">
        <v>433</v>
      </c>
      <c r="AW82" s="1501" t="s">
        <v>434</v>
      </c>
      <c r="AX82" s="1517" t="s">
        <v>277</v>
      </c>
      <c r="AY82" s="1508">
        <f>1/3</f>
        <v>0.33333333333333331</v>
      </c>
    </row>
    <row r="83" spans="2:51">
      <c r="B83" s="1474" t="str">
        <f t="shared" si="72"/>
        <v>2.1</v>
      </c>
      <c r="C83" s="1475" t="str">
        <f>R83</f>
        <v>地域インフラの負荷抑制</v>
      </c>
      <c r="D83" s="1471">
        <f>IF(I$82=0,0,G83/I$82)</f>
        <v>0.5</v>
      </c>
      <c r="E83" s="1471">
        <f>IF(J$79=0,0,H83/J$79)</f>
        <v>0</v>
      </c>
      <c r="F83" s="1534"/>
      <c r="G83" s="1483">
        <f>K83*((S$7*S83)+(T$7*T83)+(U$7*U83)+(V$7*V83)+(W$7*W83)+(X$7*X83)+(Y$7*Y83)+(Z$7*Z83)+(AA$7*AA83))</f>
        <v>0.5</v>
      </c>
      <c r="H83" s="1483">
        <f t="shared" si="82"/>
        <v>0</v>
      </c>
      <c r="I83" s="1483"/>
      <c r="J83" s="1483"/>
      <c r="K83" s="1483">
        <f>IF(スコア!O82=0,0,1)</f>
        <v>1</v>
      </c>
      <c r="L83" s="1483">
        <f>IF(スコア!T82=0,0,1)</f>
        <v>0</v>
      </c>
      <c r="M83" s="1483">
        <f t="shared" si="51"/>
        <v>0.5</v>
      </c>
      <c r="N83" s="1483">
        <f t="shared" si="52"/>
        <v>0</v>
      </c>
      <c r="O83" s="1538"/>
      <c r="P83" s="1474" t="str">
        <f t="shared" si="83"/>
        <v>2.1</v>
      </c>
      <c r="Q83" s="1474" t="str">
        <f t="shared" si="83"/>
        <v>2.3.3</v>
      </c>
      <c r="R83" s="1474" t="str">
        <f t="shared" si="83"/>
        <v>地域インフラの負荷抑制</v>
      </c>
      <c r="S83" s="1587">
        <f t="shared" si="83"/>
        <v>0.5</v>
      </c>
      <c r="T83" s="1564">
        <f t="shared" ref="T83:AD84" si="84">IF($P$3=1,AJ83,AZ83)</f>
        <v>0</v>
      </c>
      <c r="U83" s="1564">
        <f t="shared" si="84"/>
        <v>0</v>
      </c>
      <c r="V83" s="1564">
        <f t="shared" si="84"/>
        <v>0</v>
      </c>
      <c r="W83" s="1564">
        <f t="shared" si="84"/>
        <v>0</v>
      </c>
      <c r="X83" s="1564">
        <f t="shared" si="84"/>
        <v>0</v>
      </c>
      <c r="Y83" s="1564">
        <f t="shared" si="84"/>
        <v>0</v>
      </c>
      <c r="Z83" s="1580">
        <f t="shared" si="84"/>
        <v>0</v>
      </c>
      <c r="AA83" s="1564">
        <f t="shared" si="84"/>
        <v>0</v>
      </c>
      <c r="AB83" s="1566">
        <f t="shared" si="84"/>
        <v>0</v>
      </c>
      <c r="AC83" s="1564">
        <f t="shared" si="84"/>
        <v>0</v>
      </c>
      <c r="AD83" s="1564">
        <f t="shared" si="84"/>
        <v>0</v>
      </c>
      <c r="AE83" s="1546"/>
      <c r="AF83" s="1492"/>
      <c r="AG83" s="1492"/>
      <c r="AH83" s="1492"/>
      <c r="AI83" s="1496"/>
      <c r="AJ83" s="1496"/>
      <c r="AK83" s="1496"/>
      <c r="AL83" s="1496"/>
      <c r="AM83" s="1496"/>
      <c r="AN83" s="1496"/>
      <c r="AO83" s="1496"/>
      <c r="AP83" s="1549"/>
      <c r="AQ83" s="1496"/>
      <c r="AR83" s="1496"/>
      <c r="AS83" s="1496"/>
      <c r="AT83" s="1496"/>
      <c r="AU83" s="1543"/>
      <c r="AV83" s="1503" t="s">
        <v>435</v>
      </c>
      <c r="AW83" s="1503" t="s">
        <v>436</v>
      </c>
      <c r="AX83" s="1475" t="s">
        <v>437</v>
      </c>
      <c r="AY83" s="1504">
        <v>0.5</v>
      </c>
    </row>
    <row r="84" spans="2:51">
      <c r="B84" s="1474" t="str">
        <f t="shared" si="72"/>
        <v>2.2</v>
      </c>
      <c r="C84" s="1475" t="str">
        <f>R84</f>
        <v>既存の自然環境の保全</v>
      </c>
      <c r="D84" s="1471">
        <f>IF(I$82=0,0,G84/I$82)</f>
        <v>0.5</v>
      </c>
      <c r="E84" s="1471">
        <f>IF(J$79=0,0,H84/J$79)</f>
        <v>0</v>
      </c>
      <c r="F84" s="1534"/>
      <c r="G84" s="1483">
        <f>K84*((S$7*S84)+(T$7*T84)+(U$7*U84)+(V$7*V84)+(W$7*W84)+(X$7*X84)+(Y$7*Y84)+(Z$7*Z84)+(AA$7*AA84))</f>
        <v>0.5</v>
      </c>
      <c r="H84" s="1483">
        <f t="shared" si="82"/>
        <v>0</v>
      </c>
      <c r="I84" s="1483"/>
      <c r="J84" s="1483"/>
      <c r="K84" s="1483">
        <f>IF(スコア!O83=0,0,1)</f>
        <v>1</v>
      </c>
      <c r="L84" s="1483">
        <f>IF(スコア!T83=0,0,1)</f>
        <v>0</v>
      </c>
      <c r="M84" s="1483">
        <f t="shared" si="51"/>
        <v>0.5</v>
      </c>
      <c r="N84" s="1483">
        <f t="shared" si="52"/>
        <v>0</v>
      </c>
      <c r="O84" s="1538"/>
      <c r="P84" s="1595" t="str">
        <f t="shared" si="83"/>
        <v>2.2</v>
      </c>
      <c r="Q84" s="1474" t="str">
        <f t="shared" si="83"/>
        <v>2.3.3</v>
      </c>
      <c r="R84" s="1474" t="str">
        <f t="shared" si="83"/>
        <v>既存の自然環境の保全</v>
      </c>
      <c r="S84" s="1587">
        <f t="shared" si="83"/>
        <v>0.5</v>
      </c>
      <c r="T84" s="1564">
        <f t="shared" si="84"/>
        <v>0</v>
      </c>
      <c r="U84" s="1564">
        <f t="shared" si="84"/>
        <v>0</v>
      </c>
      <c r="V84" s="1564">
        <f t="shared" si="84"/>
        <v>0</v>
      </c>
      <c r="W84" s="1564">
        <f t="shared" si="84"/>
        <v>0</v>
      </c>
      <c r="X84" s="1564">
        <f t="shared" si="84"/>
        <v>0</v>
      </c>
      <c r="Y84" s="1564">
        <f t="shared" si="84"/>
        <v>0</v>
      </c>
      <c r="Z84" s="1580">
        <f t="shared" si="84"/>
        <v>0</v>
      </c>
      <c r="AA84" s="1564">
        <f t="shared" si="84"/>
        <v>0</v>
      </c>
      <c r="AB84" s="1566">
        <f t="shared" si="84"/>
        <v>0</v>
      </c>
      <c r="AC84" s="1564">
        <f t="shared" si="84"/>
        <v>0</v>
      </c>
      <c r="AD84" s="1564">
        <f t="shared" si="84"/>
        <v>0</v>
      </c>
      <c r="AE84" s="1546"/>
      <c r="AF84" s="1492"/>
      <c r="AG84" s="1492"/>
      <c r="AH84" s="1492"/>
      <c r="AI84" s="1496"/>
      <c r="AJ84" s="1496"/>
      <c r="AK84" s="1496"/>
      <c r="AL84" s="1496"/>
      <c r="AM84" s="1496"/>
      <c r="AN84" s="1496"/>
      <c r="AO84" s="1496"/>
      <c r="AP84" s="1549"/>
      <c r="AQ84" s="1496"/>
      <c r="AR84" s="1496"/>
      <c r="AS84" s="1496"/>
      <c r="AT84" s="1496"/>
      <c r="AU84" s="1543"/>
      <c r="AV84" s="1503" t="s">
        <v>438</v>
      </c>
      <c r="AW84" s="1503" t="s">
        <v>436</v>
      </c>
      <c r="AX84" s="1475" t="s">
        <v>439</v>
      </c>
      <c r="AY84" s="1504">
        <v>0.5</v>
      </c>
    </row>
    <row r="85" spans="2:51">
      <c r="B85" s="1466" t="str">
        <f t="shared" si="72"/>
        <v>3</v>
      </c>
      <c r="C85" s="1467" t="str">
        <f>R85</f>
        <v>周辺環境への配慮</v>
      </c>
      <c r="D85" s="1468" t="e">
        <f>IF(I$79=0,0,G85/I$79)</f>
        <v>#VALUE!</v>
      </c>
      <c r="E85" s="1468">
        <f>IF(J$62=0,0,H85/J$62)</f>
        <v>0</v>
      </c>
      <c r="F85" s="1559"/>
      <c r="G85" s="1476">
        <f t="shared" si="81"/>
        <v>0.33333333333333331</v>
      </c>
      <c r="H85" s="1476">
        <f t="shared" si="82"/>
        <v>0</v>
      </c>
      <c r="I85" s="1476">
        <f>G86+G87</f>
        <v>1</v>
      </c>
      <c r="J85" s="1476">
        <f>H86+H87</f>
        <v>0</v>
      </c>
      <c r="K85" s="1476">
        <f>IF(スコア!O84=0,0,1)</f>
        <v>1</v>
      </c>
      <c r="L85" s="1476">
        <f>IF(スコア!T84=0,0,1)</f>
        <v>0</v>
      </c>
      <c r="M85" s="1476">
        <f t="shared" si="51"/>
        <v>0.33333333333333331</v>
      </c>
      <c r="N85" s="1476">
        <f t="shared" si="52"/>
        <v>0</v>
      </c>
      <c r="O85" s="1560"/>
      <c r="P85" s="1594" t="str">
        <f t="shared" si="78"/>
        <v>3</v>
      </c>
      <c r="Q85" s="1594" t="str">
        <f t="shared" si="79"/>
        <v>2.3</v>
      </c>
      <c r="R85" s="1466" t="str">
        <f t="shared" si="68"/>
        <v>周辺環境への配慮</v>
      </c>
      <c r="S85" s="1577">
        <f t="shared" si="69"/>
        <v>0.33333333333333331</v>
      </c>
      <c r="T85" s="1577"/>
      <c r="U85" s="1577"/>
      <c r="V85" s="1577"/>
      <c r="W85" s="1577"/>
      <c r="X85" s="1577"/>
      <c r="Y85" s="1577"/>
      <c r="Z85" s="1565"/>
      <c r="AA85" s="1577"/>
      <c r="AB85" s="1578"/>
      <c r="AC85" s="1577"/>
      <c r="AD85" s="1577"/>
      <c r="AE85" s="1572"/>
      <c r="AF85" s="1497"/>
      <c r="AG85" s="1497"/>
      <c r="AH85" s="1497"/>
      <c r="AI85" s="1573"/>
      <c r="AJ85" s="1573"/>
      <c r="AK85" s="1573"/>
      <c r="AL85" s="1573"/>
      <c r="AM85" s="1573"/>
      <c r="AN85" s="1573"/>
      <c r="AO85" s="1573"/>
      <c r="AP85" s="1574"/>
      <c r="AQ85" s="1573"/>
      <c r="AR85" s="1573"/>
      <c r="AS85" s="1573"/>
      <c r="AT85" s="1573"/>
      <c r="AU85" s="1575"/>
      <c r="AV85" s="1501" t="s">
        <v>440</v>
      </c>
      <c r="AW85" s="1501" t="s">
        <v>441</v>
      </c>
      <c r="AX85" s="1515" t="s">
        <v>680</v>
      </c>
      <c r="AY85" s="1508">
        <f>1/3</f>
        <v>0.33333333333333331</v>
      </c>
    </row>
    <row r="86" spans="2:51">
      <c r="B86" s="1474" t="str">
        <f t="shared" si="72"/>
        <v>3.1</v>
      </c>
      <c r="C86" s="1475" t="str">
        <f t="shared" si="62"/>
        <v>騒音・振動・排気・排熱の低減</v>
      </c>
      <c r="D86" s="1471">
        <f>IF(I$85=0,0,G86/I$85)</f>
        <v>0.5</v>
      </c>
      <c r="E86" s="1471">
        <f>IF(J$79=0,0,H86/J$79)</f>
        <v>0</v>
      </c>
      <c r="F86" s="1534"/>
      <c r="G86" s="1483">
        <f t="shared" si="81"/>
        <v>0.5</v>
      </c>
      <c r="H86" s="1483">
        <f t="shared" si="82"/>
        <v>0</v>
      </c>
      <c r="I86" s="1483"/>
      <c r="J86" s="1483"/>
      <c r="K86" s="1483">
        <f>IF(スコア!O85=0,0,1)</f>
        <v>1</v>
      </c>
      <c r="L86" s="1483">
        <f>IF(スコア!T85=0,0,1)</f>
        <v>0</v>
      </c>
      <c r="M86" s="1483">
        <f t="shared" si="51"/>
        <v>0.5</v>
      </c>
      <c r="N86" s="1483">
        <f t="shared" si="52"/>
        <v>0</v>
      </c>
      <c r="O86" s="1538"/>
      <c r="P86" s="1595" t="str">
        <f t="shared" si="78"/>
        <v>3.1</v>
      </c>
      <c r="Q86" s="1595" t="str">
        <f>IF($P$3=1,AG86,AW86)</f>
        <v>2.3.2</v>
      </c>
      <c r="R86" s="1474" t="str">
        <f t="shared" si="68"/>
        <v>騒音・振動・排気・排熱の低減</v>
      </c>
      <c r="S86" s="1567">
        <f t="shared" si="69"/>
        <v>0.5</v>
      </c>
      <c r="T86" s="1577">
        <f t="shared" ref="T86:AA87" si="85">IF($P$3=1,AJ86,AZ86)</f>
        <v>0</v>
      </c>
      <c r="U86" s="1577">
        <f t="shared" si="85"/>
        <v>0</v>
      </c>
      <c r="V86" s="1577">
        <f t="shared" si="85"/>
        <v>0</v>
      </c>
      <c r="W86" s="1577">
        <f t="shared" si="85"/>
        <v>0</v>
      </c>
      <c r="X86" s="1577">
        <f t="shared" si="85"/>
        <v>0</v>
      </c>
      <c r="Y86" s="1577">
        <f t="shared" si="85"/>
        <v>0</v>
      </c>
      <c r="Z86" s="1565">
        <f t="shared" si="85"/>
        <v>0</v>
      </c>
      <c r="AA86" s="1577">
        <f t="shared" si="85"/>
        <v>0</v>
      </c>
      <c r="AB86" s="1578">
        <f t="shared" ref="AB86:AD87" si="86">IF($P$3=1,AR86,BH86)</f>
        <v>0</v>
      </c>
      <c r="AC86" s="1577">
        <f t="shared" si="86"/>
        <v>0</v>
      </c>
      <c r="AD86" s="1577">
        <f t="shared" si="86"/>
        <v>0</v>
      </c>
      <c r="AE86" s="1546"/>
      <c r="AF86" s="1492"/>
      <c r="AG86" s="1492"/>
      <c r="AH86" s="1492"/>
      <c r="AI86" s="1496"/>
      <c r="AJ86" s="1496"/>
      <c r="AK86" s="1496"/>
      <c r="AL86" s="1496"/>
      <c r="AM86" s="1496"/>
      <c r="AN86" s="1496"/>
      <c r="AO86" s="1496"/>
      <c r="AP86" s="1549"/>
      <c r="AQ86" s="1496"/>
      <c r="AR86" s="1496"/>
      <c r="AS86" s="1496"/>
      <c r="AT86" s="1496"/>
      <c r="AU86" s="1543"/>
      <c r="AV86" s="1503" t="s">
        <v>442</v>
      </c>
      <c r="AW86" s="1503" t="s">
        <v>443</v>
      </c>
      <c r="AX86" s="1475" t="s">
        <v>714</v>
      </c>
      <c r="AY86" s="1504">
        <v>0.5</v>
      </c>
    </row>
    <row r="87" spans="2:51" ht="12.75" customHeight="1">
      <c r="B87" s="1474" t="str">
        <f t="shared" si="72"/>
        <v>3.2</v>
      </c>
      <c r="C87" s="1475" t="str">
        <f t="shared" si="62"/>
        <v>周辺温熱環境の改善</v>
      </c>
      <c r="D87" s="1471">
        <f>IF(I$85=0,0,G87/I$85)</f>
        <v>0.5</v>
      </c>
      <c r="E87" s="1471">
        <f>IF(J$79=0,0,H87/J$79)</f>
        <v>0</v>
      </c>
      <c r="F87" s="1534"/>
      <c r="G87" s="1483">
        <f t="shared" si="81"/>
        <v>0.5</v>
      </c>
      <c r="H87" s="1483">
        <f t="shared" si="82"/>
        <v>0</v>
      </c>
      <c r="I87" s="1483"/>
      <c r="J87" s="1483"/>
      <c r="K87" s="1483">
        <f>IF(スコア!O86=0,0,1)</f>
        <v>1</v>
      </c>
      <c r="L87" s="1483">
        <f>IF(スコア!T86=0,0,1)</f>
        <v>0</v>
      </c>
      <c r="M87" s="1483">
        <f t="shared" si="51"/>
        <v>0.5</v>
      </c>
      <c r="N87" s="1483">
        <f t="shared" si="52"/>
        <v>0</v>
      </c>
      <c r="O87" s="1538"/>
      <c r="P87" s="1474" t="str">
        <f t="shared" si="78"/>
        <v>3.2</v>
      </c>
      <c r="Q87" s="1474" t="str">
        <f>IF($P$3=1,AG87,AW87)</f>
        <v>2.3.2</v>
      </c>
      <c r="R87" s="1474" t="str">
        <f t="shared" si="68"/>
        <v>周辺温熱環境の改善</v>
      </c>
      <c r="S87" s="1587">
        <f t="shared" si="69"/>
        <v>0.5</v>
      </c>
      <c r="T87" s="1564">
        <f t="shared" si="85"/>
        <v>0</v>
      </c>
      <c r="U87" s="1564">
        <f t="shared" si="85"/>
        <v>0</v>
      </c>
      <c r="V87" s="1564">
        <f t="shared" si="85"/>
        <v>0</v>
      </c>
      <c r="W87" s="1564">
        <f t="shared" si="85"/>
        <v>0</v>
      </c>
      <c r="X87" s="1564">
        <f t="shared" si="85"/>
        <v>0</v>
      </c>
      <c r="Y87" s="1564">
        <f t="shared" si="85"/>
        <v>0</v>
      </c>
      <c r="Z87" s="1580">
        <f t="shared" si="85"/>
        <v>0</v>
      </c>
      <c r="AA87" s="1564">
        <f t="shared" si="85"/>
        <v>0</v>
      </c>
      <c r="AB87" s="1566">
        <f t="shared" si="86"/>
        <v>0</v>
      </c>
      <c r="AC87" s="1564">
        <f t="shared" si="86"/>
        <v>0</v>
      </c>
      <c r="AD87" s="1564">
        <f t="shared" si="86"/>
        <v>0</v>
      </c>
      <c r="AE87" s="1546"/>
      <c r="AF87" s="1492"/>
      <c r="AG87" s="1492"/>
      <c r="AH87" s="1492"/>
      <c r="AI87" s="1496"/>
      <c r="AJ87" s="1496"/>
      <c r="AK87" s="1496"/>
      <c r="AL87" s="1496"/>
      <c r="AM87" s="1496"/>
      <c r="AN87" s="1496"/>
      <c r="AO87" s="1496"/>
      <c r="AP87" s="1549"/>
      <c r="AQ87" s="1496"/>
      <c r="AR87" s="1496"/>
      <c r="AS87" s="1496"/>
      <c r="AT87" s="1496"/>
      <c r="AU87" s="1543"/>
      <c r="AV87" s="1503" t="s">
        <v>444</v>
      </c>
      <c r="AW87" s="1503" t="s">
        <v>445</v>
      </c>
      <c r="AX87" s="1475" t="s">
        <v>68</v>
      </c>
      <c r="AY87" s="1504">
        <v>0.5</v>
      </c>
    </row>
    <row r="88" spans="2:51"/>
    <row r="89" spans="2:51" hidden="1">
      <c r="Q89" t="s">
        <v>783</v>
      </c>
      <c r="R89" t="s">
        <v>509</v>
      </c>
      <c r="S89">
        <f>採点LR2!G8</f>
        <v>1</v>
      </c>
    </row>
    <row r="90" spans="2:51" hidden="1">
      <c r="R90" t="s">
        <v>510</v>
      </c>
      <c r="S90">
        <f>採点LR2!H8</f>
        <v>0</v>
      </c>
    </row>
    <row r="91" spans="2:51" hidden="1">
      <c r="R91" t="s">
        <v>511</v>
      </c>
      <c r="S91">
        <f>採点LR2!I8</f>
        <v>0</v>
      </c>
    </row>
    <row r="92" spans="2:51"/>
    <row r="93" spans="2:51"/>
    <row r="94" spans="2:51"/>
    <row r="95" spans="2:51"/>
    <row r="96" spans="2:51"/>
    <row r="97"/>
    <row r="98"/>
    <row r="99"/>
    <row r="100"/>
    <row r="101"/>
    <row r="102"/>
    <row r="103"/>
    <row r="104"/>
  </sheetData>
  <sheetProtection password="CC47" sheet="1" objects="1" scenarios="1"/>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58" orientation="portrait" verticalDpi="4294967293"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A1:XEW213"/>
  <sheetViews>
    <sheetView showGridLines="0" zoomScaleNormal="100" zoomScaleSheetLayoutView="90" workbookViewId="0">
      <selection activeCell="K20" sqref="K20"/>
    </sheetView>
  </sheetViews>
  <sheetFormatPr defaultColWidth="0" defaultRowHeight="13.5" customHeight="1" zeroHeight="1"/>
  <cols>
    <col min="1" max="2" width="1.5" style="972" customWidth="1"/>
    <col min="3" max="3" width="2.75" style="972" customWidth="1"/>
    <col min="4" max="4" width="8.5" style="972" customWidth="1"/>
    <col min="5" max="5" width="13.75" style="972" customWidth="1"/>
    <col min="6" max="6" width="14.5" style="972" customWidth="1"/>
    <col min="7" max="7" width="20.375" style="972" hidden="1" customWidth="1"/>
    <col min="8" max="8" width="9.375" style="972" hidden="1" customWidth="1"/>
    <col min="9" max="9" width="13" style="972" customWidth="1"/>
    <col min="10" max="10" width="9" style="972" bestFit="1" customWidth="1"/>
    <col min="11" max="16" width="9.25" style="972" customWidth="1"/>
    <col min="17" max="17" width="10.875" style="972" customWidth="1"/>
    <col min="18" max="18" width="2.625" style="972" customWidth="1"/>
    <col min="19" max="19" width="9.625" style="972" hidden="1" customWidth="1"/>
    <col min="20" max="20" width="11.125" style="972" hidden="1" customWidth="1"/>
    <col min="21" max="27" width="5.875" style="972" hidden="1" customWidth="1"/>
    <col min="28" max="249" width="8.875" style="972" hidden="1" customWidth="1"/>
    <col min="250" max="16377" width="9" style="972" hidden="1" customWidth="1"/>
    <col min="16378" max="16384" width="5" style="972" hidden="1" customWidth="1"/>
  </cols>
  <sheetData>
    <row r="1" spans="2:17" ht="23.25">
      <c r="B1" s="1048" t="s">
        <v>697</v>
      </c>
    </row>
    <row r="2" spans="2:17" ht="18" customHeight="1">
      <c r="B2" s="982"/>
    </row>
    <row r="3" spans="2:17" ht="16.5">
      <c r="C3" s="983" t="s">
        <v>696</v>
      </c>
      <c r="D3" s="983"/>
      <c r="I3" s="1083" t="s">
        <v>698</v>
      </c>
      <c r="J3" s="1084"/>
      <c r="K3" s="1084"/>
      <c r="L3" s="1085"/>
      <c r="M3" s="1085"/>
      <c r="N3" s="1085"/>
      <c r="O3" s="1085"/>
      <c r="P3" s="1085"/>
      <c r="Q3" s="1086"/>
    </row>
    <row r="4" spans="2:17" ht="14.25">
      <c r="C4" s="1352"/>
      <c r="D4" s="1352"/>
      <c r="E4" s="973"/>
      <c r="F4" s="965" t="s">
        <v>692</v>
      </c>
      <c r="H4" s="973"/>
      <c r="I4" s="1087" t="s">
        <v>299</v>
      </c>
      <c r="J4" s="1088"/>
      <c r="K4" s="1089"/>
      <c r="L4" s="1087" t="s">
        <v>300</v>
      </c>
      <c r="M4" s="1088"/>
      <c r="N4" s="1089"/>
      <c r="O4" s="1087" t="s">
        <v>301</v>
      </c>
      <c r="P4" s="1088"/>
      <c r="Q4" s="1090"/>
    </row>
    <row r="5" spans="2:17" ht="16.5">
      <c r="C5" s="997" t="s">
        <v>693</v>
      </c>
      <c r="D5" s="1000"/>
      <c r="E5" s="981" t="s">
        <v>694</v>
      </c>
      <c r="F5" s="975" t="s">
        <v>695</v>
      </c>
      <c r="H5" s="976"/>
      <c r="I5" s="1091" t="s">
        <v>35</v>
      </c>
      <c r="J5" s="1091" t="s">
        <v>281</v>
      </c>
      <c r="K5" s="1091" t="s">
        <v>36</v>
      </c>
      <c r="L5" s="1091" t="s">
        <v>35</v>
      </c>
      <c r="M5" s="1091" t="s">
        <v>281</v>
      </c>
      <c r="N5" s="1091" t="s">
        <v>36</v>
      </c>
      <c r="O5" s="1091" t="s">
        <v>35</v>
      </c>
      <c r="P5" s="1091" t="s">
        <v>281</v>
      </c>
      <c r="Q5" s="1091" t="s">
        <v>36</v>
      </c>
    </row>
    <row r="6" spans="2:17">
      <c r="C6" s="1004" t="s">
        <v>34</v>
      </c>
      <c r="D6" s="1001"/>
      <c r="E6" s="978" t="s">
        <v>34</v>
      </c>
      <c r="F6" s="977" t="s">
        <v>35</v>
      </c>
      <c r="H6" s="977">
        <v>113</v>
      </c>
      <c r="I6" s="1006">
        <v>6.04</v>
      </c>
      <c r="J6" s="1006">
        <v>3.02</v>
      </c>
      <c r="K6" s="1006">
        <v>2.0099999999999998</v>
      </c>
      <c r="L6" s="1006">
        <v>13.48</v>
      </c>
      <c r="M6" s="1006">
        <v>6.74</v>
      </c>
      <c r="N6" s="1006">
        <v>4.49</v>
      </c>
      <c r="O6" s="1006">
        <v>13.2</v>
      </c>
      <c r="P6" s="1006">
        <v>6.6</v>
      </c>
      <c r="Q6" s="1006">
        <v>4.4000000000000004</v>
      </c>
    </row>
    <row r="7" spans="2:17">
      <c r="C7" s="998"/>
      <c r="D7" s="1002"/>
      <c r="E7" s="979"/>
      <c r="F7" s="977" t="s">
        <v>281</v>
      </c>
      <c r="H7" s="977">
        <v>114</v>
      </c>
      <c r="I7" s="1006">
        <v>6.04</v>
      </c>
      <c r="J7" s="1006">
        <v>3.02</v>
      </c>
      <c r="K7" s="1006">
        <v>2.0099999999999998</v>
      </c>
      <c r="L7" s="1006">
        <v>13.48</v>
      </c>
      <c r="M7" s="1006">
        <v>6.74</v>
      </c>
      <c r="N7" s="1006">
        <v>4.49</v>
      </c>
      <c r="O7" s="1006">
        <v>13.2</v>
      </c>
      <c r="P7" s="1006">
        <v>6.6</v>
      </c>
      <c r="Q7" s="1006">
        <v>4.4000000000000004</v>
      </c>
    </row>
    <row r="8" spans="2:17">
      <c r="C8" s="998"/>
      <c r="D8" s="1002"/>
      <c r="E8" s="980"/>
      <c r="F8" s="977" t="s">
        <v>36</v>
      </c>
      <c r="H8" s="977">
        <v>115</v>
      </c>
      <c r="I8" s="1006">
        <v>6.04</v>
      </c>
      <c r="J8" s="1006">
        <v>3.02</v>
      </c>
      <c r="K8" s="1006">
        <v>2.0099999999999998</v>
      </c>
      <c r="L8" s="1006">
        <v>13.48</v>
      </c>
      <c r="M8" s="1006">
        <v>6.74</v>
      </c>
      <c r="N8" s="1006">
        <v>4.49</v>
      </c>
      <c r="O8" s="1006">
        <v>13.2</v>
      </c>
      <c r="P8" s="1006">
        <v>6.6</v>
      </c>
      <c r="Q8" s="1006">
        <v>4.4000000000000004</v>
      </c>
    </row>
    <row r="9" spans="2:17">
      <c r="C9" s="998"/>
      <c r="D9" s="1002"/>
      <c r="E9" s="978" t="s">
        <v>280</v>
      </c>
      <c r="F9" s="977" t="s">
        <v>35</v>
      </c>
      <c r="H9" s="977">
        <v>123</v>
      </c>
      <c r="I9" s="1006">
        <v>6.04</v>
      </c>
      <c r="J9" s="1006">
        <v>3.02</v>
      </c>
      <c r="K9" s="1006">
        <v>2.0099999999999998</v>
      </c>
      <c r="L9" s="1006">
        <v>13.48</v>
      </c>
      <c r="M9" s="1006">
        <v>6.74</v>
      </c>
      <c r="N9" s="1006">
        <v>4.49</v>
      </c>
      <c r="O9" s="1006">
        <v>13.2</v>
      </c>
      <c r="P9" s="1006">
        <v>6.6</v>
      </c>
      <c r="Q9" s="1006">
        <v>4.4000000000000004</v>
      </c>
    </row>
    <row r="10" spans="2:17">
      <c r="C10" s="998"/>
      <c r="D10" s="1002"/>
      <c r="E10" s="979"/>
      <c r="F10" s="977" t="s">
        <v>281</v>
      </c>
      <c r="H10" s="977">
        <v>124</v>
      </c>
      <c r="I10" s="1006">
        <v>6.04</v>
      </c>
      <c r="J10" s="1006">
        <v>3.02</v>
      </c>
      <c r="K10" s="1006">
        <v>2.0099999999999998</v>
      </c>
      <c r="L10" s="1006">
        <v>13.48</v>
      </c>
      <c r="M10" s="1006">
        <v>6.74</v>
      </c>
      <c r="N10" s="1006">
        <v>4.49</v>
      </c>
      <c r="O10" s="1006">
        <v>13.2</v>
      </c>
      <c r="P10" s="1006">
        <v>6.6</v>
      </c>
      <c r="Q10" s="1006">
        <v>4.4000000000000004</v>
      </c>
    </row>
    <row r="11" spans="2:17">
      <c r="C11" s="998"/>
      <c r="D11" s="1002"/>
      <c r="E11" s="980"/>
      <c r="F11" s="977" t="s">
        <v>36</v>
      </c>
      <c r="H11" s="977">
        <v>125</v>
      </c>
      <c r="I11" s="1006">
        <v>6.04</v>
      </c>
      <c r="J11" s="1006">
        <v>3.02</v>
      </c>
      <c r="K11" s="1006">
        <v>2.0099999999999998</v>
      </c>
      <c r="L11" s="1006">
        <v>13.48</v>
      </c>
      <c r="M11" s="1006">
        <v>6.74</v>
      </c>
      <c r="N11" s="1006">
        <v>4.49</v>
      </c>
      <c r="O11" s="1006">
        <v>13.2</v>
      </c>
      <c r="P11" s="1006">
        <v>6.6</v>
      </c>
      <c r="Q11" s="1006">
        <v>4.4000000000000004</v>
      </c>
    </row>
    <row r="12" spans="2:17">
      <c r="C12" s="998"/>
      <c r="D12" s="1002"/>
      <c r="E12" s="978" t="s">
        <v>35</v>
      </c>
      <c r="F12" s="977" t="s">
        <v>35</v>
      </c>
      <c r="H12" s="977">
        <v>133</v>
      </c>
      <c r="I12" s="1006">
        <v>6.04</v>
      </c>
      <c r="J12" s="1006">
        <v>3.02</v>
      </c>
      <c r="K12" s="1006">
        <v>2.0099999999999998</v>
      </c>
      <c r="L12" s="1006">
        <v>13.48</v>
      </c>
      <c r="M12" s="1006">
        <v>6.74</v>
      </c>
      <c r="N12" s="1006">
        <v>4.49</v>
      </c>
      <c r="O12" s="1006">
        <v>13.2</v>
      </c>
      <c r="P12" s="1006">
        <v>6.6</v>
      </c>
      <c r="Q12" s="1006">
        <v>4.4000000000000004</v>
      </c>
    </row>
    <row r="13" spans="2:17">
      <c r="C13" s="998"/>
      <c r="D13" s="1002"/>
      <c r="E13" s="979"/>
      <c r="F13" s="977" t="s">
        <v>281</v>
      </c>
      <c r="H13" s="977">
        <v>134</v>
      </c>
      <c r="I13" s="1006">
        <v>6.04</v>
      </c>
      <c r="J13" s="1006">
        <v>3.02</v>
      </c>
      <c r="K13" s="1006">
        <v>2.0099999999999998</v>
      </c>
      <c r="L13" s="1006">
        <v>13.48</v>
      </c>
      <c r="M13" s="1006">
        <v>6.74</v>
      </c>
      <c r="N13" s="1006">
        <v>4.49</v>
      </c>
      <c r="O13" s="1006">
        <v>13.2</v>
      </c>
      <c r="P13" s="1006">
        <v>6.6</v>
      </c>
      <c r="Q13" s="1006">
        <v>4.4000000000000004</v>
      </c>
    </row>
    <row r="14" spans="2:17">
      <c r="C14" s="998"/>
      <c r="D14" s="1002"/>
      <c r="E14" s="980"/>
      <c r="F14" s="977" t="s">
        <v>36</v>
      </c>
      <c r="H14" s="977">
        <v>135</v>
      </c>
      <c r="I14" s="1006">
        <v>6.04</v>
      </c>
      <c r="J14" s="1006">
        <v>3.02</v>
      </c>
      <c r="K14" s="1006">
        <v>2.0099999999999998</v>
      </c>
      <c r="L14" s="1006">
        <v>13.48</v>
      </c>
      <c r="M14" s="1006">
        <v>6.74</v>
      </c>
      <c r="N14" s="1006">
        <v>4.49</v>
      </c>
      <c r="O14" s="1006">
        <v>13.2</v>
      </c>
      <c r="P14" s="1006">
        <v>6.6</v>
      </c>
      <c r="Q14" s="1006">
        <v>4.4000000000000004</v>
      </c>
    </row>
    <row r="15" spans="2:17">
      <c r="C15" s="998"/>
      <c r="D15" s="1002"/>
      <c r="E15" s="978" t="s">
        <v>281</v>
      </c>
      <c r="F15" s="977" t="s">
        <v>35</v>
      </c>
      <c r="H15" s="977">
        <v>143</v>
      </c>
      <c r="I15" s="1006">
        <v>6.04</v>
      </c>
      <c r="J15" s="1006">
        <v>3.02</v>
      </c>
      <c r="K15" s="1006">
        <v>2.0099999999999998</v>
      </c>
      <c r="L15" s="1006">
        <v>13.48</v>
      </c>
      <c r="M15" s="1006">
        <v>6.74</v>
      </c>
      <c r="N15" s="1006">
        <v>4.49</v>
      </c>
      <c r="O15" s="1006">
        <v>13.2</v>
      </c>
      <c r="P15" s="1006">
        <v>6.6</v>
      </c>
      <c r="Q15" s="1006">
        <v>4.4000000000000004</v>
      </c>
    </row>
    <row r="16" spans="2:17">
      <c r="C16" s="998"/>
      <c r="D16" s="1002"/>
      <c r="E16" s="979"/>
      <c r="F16" s="977" t="s">
        <v>281</v>
      </c>
      <c r="H16" s="977">
        <v>144</v>
      </c>
      <c r="I16" s="1006">
        <v>6.04</v>
      </c>
      <c r="J16" s="1006">
        <v>3.02</v>
      </c>
      <c r="K16" s="1006">
        <v>2.0099999999999998</v>
      </c>
      <c r="L16" s="1006">
        <v>13.48</v>
      </c>
      <c r="M16" s="1006">
        <v>6.74</v>
      </c>
      <c r="N16" s="1006">
        <v>4.49</v>
      </c>
      <c r="O16" s="1006">
        <v>13.2</v>
      </c>
      <c r="P16" s="1006">
        <v>6.6</v>
      </c>
      <c r="Q16" s="1006">
        <v>4.4000000000000004</v>
      </c>
    </row>
    <row r="17" spans="3:17">
      <c r="C17" s="999"/>
      <c r="D17" s="1003"/>
      <c r="E17" s="980"/>
      <c r="F17" s="977" t="s">
        <v>36</v>
      </c>
      <c r="H17" s="977">
        <v>145</v>
      </c>
      <c r="I17" s="1006">
        <v>6.04</v>
      </c>
      <c r="J17" s="1006">
        <v>3.02</v>
      </c>
      <c r="K17" s="1006">
        <v>2.0099999999999998</v>
      </c>
      <c r="L17" s="1006">
        <v>13.48</v>
      </c>
      <c r="M17" s="1006">
        <v>6.74</v>
      </c>
      <c r="N17" s="1006">
        <v>4.49</v>
      </c>
      <c r="O17" s="1006">
        <v>13.2</v>
      </c>
      <c r="P17" s="1006">
        <v>6.6</v>
      </c>
      <c r="Q17" s="1006">
        <v>4.4000000000000004</v>
      </c>
    </row>
    <row r="18" spans="3:17">
      <c r="C18" s="1004" t="s">
        <v>280</v>
      </c>
      <c r="D18" s="1001"/>
      <c r="E18" s="978" t="s">
        <v>34</v>
      </c>
      <c r="F18" s="977" t="s">
        <v>35</v>
      </c>
      <c r="H18" s="977">
        <v>213</v>
      </c>
      <c r="I18" s="1006">
        <v>6.04</v>
      </c>
      <c r="J18" s="1006">
        <v>3.02</v>
      </c>
      <c r="K18" s="1006">
        <v>2.0099999999999998</v>
      </c>
      <c r="L18" s="1006">
        <v>13.48</v>
      </c>
      <c r="M18" s="1006">
        <v>6.74</v>
      </c>
      <c r="N18" s="1006">
        <v>4.49</v>
      </c>
      <c r="O18" s="1006">
        <v>13.2</v>
      </c>
      <c r="P18" s="1006">
        <v>6.6</v>
      </c>
      <c r="Q18" s="1006">
        <v>4.4000000000000004</v>
      </c>
    </row>
    <row r="19" spans="3:17">
      <c r="C19" s="998"/>
      <c r="D19" s="1002"/>
      <c r="E19" s="979"/>
      <c r="F19" s="977" t="s">
        <v>281</v>
      </c>
      <c r="H19" s="977">
        <v>214</v>
      </c>
      <c r="I19" s="1006">
        <v>6.04</v>
      </c>
      <c r="J19" s="1006">
        <v>3.02</v>
      </c>
      <c r="K19" s="1006">
        <v>2.0099999999999998</v>
      </c>
      <c r="L19" s="1006">
        <v>13.48</v>
      </c>
      <c r="M19" s="1006">
        <v>6.74</v>
      </c>
      <c r="N19" s="1006">
        <v>4.49</v>
      </c>
      <c r="O19" s="1006">
        <v>13.2</v>
      </c>
      <c r="P19" s="1006">
        <v>6.6</v>
      </c>
      <c r="Q19" s="1006">
        <v>4.4000000000000004</v>
      </c>
    </row>
    <row r="20" spans="3:17">
      <c r="C20" s="998"/>
      <c r="D20" s="1002"/>
      <c r="E20" s="980"/>
      <c r="F20" s="977" t="s">
        <v>36</v>
      </c>
      <c r="H20" s="977">
        <v>215</v>
      </c>
      <c r="I20" s="1006">
        <v>6.04</v>
      </c>
      <c r="J20" s="1006">
        <v>3.02</v>
      </c>
      <c r="K20" s="1006">
        <v>2.0099999999999998</v>
      </c>
      <c r="L20" s="1006">
        <v>13.48</v>
      </c>
      <c r="M20" s="1006">
        <v>6.74</v>
      </c>
      <c r="N20" s="1006">
        <v>4.49</v>
      </c>
      <c r="O20" s="1006">
        <v>13.2</v>
      </c>
      <c r="P20" s="1006">
        <v>6.6</v>
      </c>
      <c r="Q20" s="1006">
        <v>4.4000000000000004</v>
      </c>
    </row>
    <row r="21" spans="3:17">
      <c r="C21" s="998"/>
      <c r="D21" s="1002"/>
      <c r="E21" s="978" t="s">
        <v>280</v>
      </c>
      <c r="F21" s="977" t="s">
        <v>35</v>
      </c>
      <c r="H21" s="977">
        <v>223</v>
      </c>
      <c r="I21" s="1006">
        <v>6.04</v>
      </c>
      <c r="J21" s="1006">
        <v>3.02</v>
      </c>
      <c r="K21" s="1006">
        <v>2.0099999999999998</v>
      </c>
      <c r="L21" s="1006">
        <v>13.48</v>
      </c>
      <c r="M21" s="1006">
        <v>6.74</v>
      </c>
      <c r="N21" s="1006">
        <v>4.49</v>
      </c>
      <c r="O21" s="1006">
        <v>13.2</v>
      </c>
      <c r="P21" s="1006">
        <v>6.6</v>
      </c>
      <c r="Q21" s="1006">
        <v>4.4000000000000004</v>
      </c>
    </row>
    <row r="22" spans="3:17">
      <c r="C22" s="998"/>
      <c r="D22" s="1002"/>
      <c r="E22" s="979"/>
      <c r="F22" s="977" t="s">
        <v>281</v>
      </c>
      <c r="H22" s="977">
        <v>224</v>
      </c>
      <c r="I22" s="1006">
        <v>6.04</v>
      </c>
      <c r="J22" s="1006">
        <v>3.02</v>
      </c>
      <c r="K22" s="1006">
        <v>2.0099999999999998</v>
      </c>
      <c r="L22" s="1006">
        <v>13.48</v>
      </c>
      <c r="M22" s="1006">
        <v>6.74</v>
      </c>
      <c r="N22" s="1006">
        <v>4.49</v>
      </c>
      <c r="O22" s="1006">
        <v>13.2</v>
      </c>
      <c r="P22" s="1006">
        <v>6.6</v>
      </c>
      <c r="Q22" s="1006">
        <v>4.4000000000000004</v>
      </c>
    </row>
    <row r="23" spans="3:17">
      <c r="C23" s="998"/>
      <c r="D23" s="1002"/>
      <c r="E23" s="980"/>
      <c r="F23" s="977" t="s">
        <v>36</v>
      </c>
      <c r="H23" s="977">
        <v>225</v>
      </c>
      <c r="I23" s="1006">
        <v>6.04</v>
      </c>
      <c r="J23" s="1006">
        <v>3.02</v>
      </c>
      <c r="K23" s="1006">
        <v>2.0099999999999998</v>
      </c>
      <c r="L23" s="1006">
        <v>13.48</v>
      </c>
      <c r="M23" s="1006">
        <v>6.74</v>
      </c>
      <c r="N23" s="1006">
        <v>4.49</v>
      </c>
      <c r="O23" s="1006">
        <v>13.2</v>
      </c>
      <c r="P23" s="1006">
        <v>6.6</v>
      </c>
      <c r="Q23" s="1006">
        <v>4.4000000000000004</v>
      </c>
    </row>
    <row r="24" spans="3:17">
      <c r="C24" s="998"/>
      <c r="D24" s="1002"/>
      <c r="E24" s="978" t="s">
        <v>35</v>
      </c>
      <c r="F24" s="977" t="s">
        <v>35</v>
      </c>
      <c r="H24" s="977">
        <v>233</v>
      </c>
      <c r="I24" s="1006">
        <v>6.04</v>
      </c>
      <c r="J24" s="1006">
        <v>3.02</v>
      </c>
      <c r="K24" s="1006">
        <v>2.0099999999999998</v>
      </c>
      <c r="L24" s="1006">
        <v>13.48</v>
      </c>
      <c r="M24" s="1006">
        <v>6.74</v>
      </c>
      <c r="N24" s="1006">
        <v>4.49</v>
      </c>
      <c r="O24" s="1006">
        <v>13.2</v>
      </c>
      <c r="P24" s="1006">
        <v>6.6</v>
      </c>
      <c r="Q24" s="1006">
        <v>4.4000000000000004</v>
      </c>
    </row>
    <row r="25" spans="3:17">
      <c r="C25" s="998"/>
      <c r="D25" s="1002"/>
      <c r="E25" s="979"/>
      <c r="F25" s="977" t="s">
        <v>281</v>
      </c>
      <c r="H25" s="977">
        <v>234</v>
      </c>
      <c r="I25" s="1006">
        <v>6.04</v>
      </c>
      <c r="J25" s="1006">
        <v>3.02</v>
      </c>
      <c r="K25" s="1006">
        <v>2.0099999999999998</v>
      </c>
      <c r="L25" s="1006">
        <v>13.48</v>
      </c>
      <c r="M25" s="1006">
        <v>6.74</v>
      </c>
      <c r="N25" s="1006">
        <v>4.49</v>
      </c>
      <c r="O25" s="1006">
        <v>13.2</v>
      </c>
      <c r="P25" s="1006">
        <v>6.6</v>
      </c>
      <c r="Q25" s="1006">
        <v>4.4000000000000004</v>
      </c>
    </row>
    <row r="26" spans="3:17">
      <c r="C26" s="998"/>
      <c r="D26" s="1002"/>
      <c r="E26" s="980"/>
      <c r="F26" s="977" t="s">
        <v>36</v>
      </c>
      <c r="H26" s="977">
        <v>235</v>
      </c>
      <c r="I26" s="1006">
        <v>6.04</v>
      </c>
      <c r="J26" s="1006">
        <v>3.02</v>
      </c>
      <c r="K26" s="1006">
        <v>2.0099999999999998</v>
      </c>
      <c r="L26" s="1006">
        <v>13.48</v>
      </c>
      <c r="M26" s="1006">
        <v>6.74</v>
      </c>
      <c r="N26" s="1006">
        <v>4.49</v>
      </c>
      <c r="O26" s="1006">
        <v>13.2</v>
      </c>
      <c r="P26" s="1006">
        <v>6.6</v>
      </c>
      <c r="Q26" s="1006">
        <v>4.4000000000000004</v>
      </c>
    </row>
    <row r="27" spans="3:17">
      <c r="C27" s="998"/>
      <c r="D27" s="1002"/>
      <c r="E27" s="978" t="s">
        <v>281</v>
      </c>
      <c r="F27" s="977" t="s">
        <v>35</v>
      </c>
      <c r="H27" s="977">
        <v>243</v>
      </c>
      <c r="I27" s="1006">
        <v>6.04</v>
      </c>
      <c r="J27" s="1006">
        <v>3.02</v>
      </c>
      <c r="K27" s="1006">
        <v>2.0099999999999998</v>
      </c>
      <c r="L27" s="1006">
        <v>13.48</v>
      </c>
      <c r="M27" s="1006">
        <v>6.74</v>
      </c>
      <c r="N27" s="1006">
        <v>4.49</v>
      </c>
      <c r="O27" s="1006">
        <v>13.2</v>
      </c>
      <c r="P27" s="1006">
        <v>6.6</v>
      </c>
      <c r="Q27" s="1006">
        <v>4.4000000000000004</v>
      </c>
    </row>
    <row r="28" spans="3:17">
      <c r="C28" s="998"/>
      <c r="D28" s="1002"/>
      <c r="E28" s="979"/>
      <c r="F28" s="977" t="s">
        <v>281</v>
      </c>
      <c r="H28" s="977">
        <v>244</v>
      </c>
      <c r="I28" s="1006">
        <v>6.04</v>
      </c>
      <c r="J28" s="1006">
        <v>3.02</v>
      </c>
      <c r="K28" s="1006">
        <v>2.0099999999999998</v>
      </c>
      <c r="L28" s="1006">
        <v>13.48</v>
      </c>
      <c r="M28" s="1006">
        <v>6.74</v>
      </c>
      <c r="N28" s="1006">
        <v>4.49</v>
      </c>
      <c r="O28" s="1006">
        <v>13.2</v>
      </c>
      <c r="P28" s="1006">
        <v>6.6</v>
      </c>
      <c r="Q28" s="1006">
        <v>4.4000000000000004</v>
      </c>
    </row>
    <row r="29" spans="3:17">
      <c r="C29" s="999"/>
      <c r="D29" s="1003"/>
      <c r="E29" s="980"/>
      <c r="F29" s="977" t="s">
        <v>36</v>
      </c>
      <c r="H29" s="977">
        <v>245</v>
      </c>
      <c r="I29" s="1006">
        <v>6.04</v>
      </c>
      <c r="J29" s="1006">
        <v>3.02</v>
      </c>
      <c r="K29" s="1006">
        <v>2.0099999999999998</v>
      </c>
      <c r="L29" s="1006">
        <v>13.48</v>
      </c>
      <c r="M29" s="1006">
        <v>6.74</v>
      </c>
      <c r="N29" s="1006">
        <v>4.49</v>
      </c>
      <c r="O29" s="1006">
        <v>13.2</v>
      </c>
      <c r="P29" s="1006">
        <v>6.6</v>
      </c>
      <c r="Q29" s="1006">
        <v>4.4000000000000004</v>
      </c>
    </row>
    <row r="30" spans="3:17">
      <c r="C30" s="1004" t="s">
        <v>35</v>
      </c>
      <c r="D30" s="1001"/>
      <c r="E30" s="978" t="s">
        <v>34</v>
      </c>
      <c r="F30" s="977" t="s">
        <v>35</v>
      </c>
      <c r="H30" s="977">
        <v>313</v>
      </c>
      <c r="I30" s="1006">
        <v>6.04</v>
      </c>
      <c r="J30" s="1006">
        <v>3.02</v>
      </c>
      <c r="K30" s="1006">
        <v>2.0099999999999998</v>
      </c>
      <c r="L30" s="1006">
        <v>13.48</v>
      </c>
      <c r="M30" s="1006">
        <v>6.74</v>
      </c>
      <c r="N30" s="1006">
        <v>4.49</v>
      </c>
      <c r="O30" s="1006">
        <v>13.2</v>
      </c>
      <c r="P30" s="1006">
        <v>6.6</v>
      </c>
      <c r="Q30" s="1006">
        <v>4.4000000000000004</v>
      </c>
    </row>
    <row r="31" spans="3:17">
      <c r="C31" s="998"/>
      <c r="D31" s="1002"/>
      <c r="E31" s="979"/>
      <c r="F31" s="977" t="s">
        <v>281</v>
      </c>
      <c r="H31" s="977">
        <v>314</v>
      </c>
      <c r="I31" s="1006">
        <v>6.04</v>
      </c>
      <c r="J31" s="1006">
        <v>3.02</v>
      </c>
      <c r="K31" s="1006">
        <v>2.0099999999999998</v>
      </c>
      <c r="L31" s="1006">
        <v>13.48</v>
      </c>
      <c r="M31" s="1006">
        <v>6.74</v>
      </c>
      <c r="N31" s="1006">
        <v>4.49</v>
      </c>
      <c r="O31" s="1006">
        <v>13.2</v>
      </c>
      <c r="P31" s="1006">
        <v>6.6</v>
      </c>
      <c r="Q31" s="1006">
        <v>4.4000000000000004</v>
      </c>
    </row>
    <row r="32" spans="3:17">
      <c r="C32" s="998"/>
      <c r="D32" s="1002"/>
      <c r="E32" s="980"/>
      <c r="F32" s="977" t="s">
        <v>36</v>
      </c>
      <c r="H32" s="977">
        <v>315</v>
      </c>
      <c r="I32" s="1006">
        <v>6.04</v>
      </c>
      <c r="J32" s="1006">
        <v>3.02</v>
      </c>
      <c r="K32" s="1006">
        <v>2.0099999999999998</v>
      </c>
      <c r="L32" s="1006">
        <v>13.48</v>
      </c>
      <c r="M32" s="1006">
        <v>6.74</v>
      </c>
      <c r="N32" s="1006">
        <v>4.49</v>
      </c>
      <c r="O32" s="1006">
        <v>13.2</v>
      </c>
      <c r="P32" s="1006">
        <v>6.6</v>
      </c>
      <c r="Q32" s="1006">
        <v>4.4000000000000004</v>
      </c>
    </row>
    <row r="33" spans="3:17">
      <c r="C33" s="998"/>
      <c r="D33" s="1002"/>
      <c r="E33" s="978" t="s">
        <v>280</v>
      </c>
      <c r="F33" s="977" t="s">
        <v>35</v>
      </c>
      <c r="H33" s="977">
        <v>323</v>
      </c>
      <c r="I33" s="1006">
        <v>6.04</v>
      </c>
      <c r="J33" s="1006">
        <v>3.02</v>
      </c>
      <c r="K33" s="1006">
        <v>2.0099999999999998</v>
      </c>
      <c r="L33" s="1006">
        <v>13.48</v>
      </c>
      <c r="M33" s="1006">
        <v>6.74</v>
      </c>
      <c r="N33" s="1006">
        <v>4.49</v>
      </c>
      <c r="O33" s="1006">
        <v>13.2</v>
      </c>
      <c r="P33" s="1006">
        <v>6.6</v>
      </c>
      <c r="Q33" s="1006">
        <v>4.4000000000000004</v>
      </c>
    </row>
    <row r="34" spans="3:17">
      <c r="C34" s="998"/>
      <c r="D34" s="1002"/>
      <c r="E34" s="979"/>
      <c r="F34" s="977" t="s">
        <v>281</v>
      </c>
      <c r="H34" s="977">
        <v>324</v>
      </c>
      <c r="I34" s="1006">
        <v>6.04</v>
      </c>
      <c r="J34" s="1006">
        <v>3.02</v>
      </c>
      <c r="K34" s="1006">
        <v>2.0099999999999998</v>
      </c>
      <c r="L34" s="1006">
        <v>13.48</v>
      </c>
      <c r="M34" s="1006">
        <v>6.74</v>
      </c>
      <c r="N34" s="1006">
        <v>4.49</v>
      </c>
      <c r="O34" s="1006">
        <v>13.2</v>
      </c>
      <c r="P34" s="1006">
        <v>6.6</v>
      </c>
      <c r="Q34" s="1006">
        <v>4.4000000000000004</v>
      </c>
    </row>
    <row r="35" spans="3:17">
      <c r="C35" s="998"/>
      <c r="D35" s="1002"/>
      <c r="E35" s="980"/>
      <c r="F35" s="977" t="s">
        <v>36</v>
      </c>
      <c r="H35" s="977">
        <v>325</v>
      </c>
      <c r="I35" s="1006">
        <v>6.04</v>
      </c>
      <c r="J35" s="1006">
        <v>3.02</v>
      </c>
      <c r="K35" s="1006">
        <v>2.0099999999999998</v>
      </c>
      <c r="L35" s="1006">
        <v>13.48</v>
      </c>
      <c r="M35" s="1006">
        <v>6.74</v>
      </c>
      <c r="N35" s="1006">
        <v>4.49</v>
      </c>
      <c r="O35" s="1006">
        <v>13.2</v>
      </c>
      <c r="P35" s="1006">
        <v>6.6</v>
      </c>
      <c r="Q35" s="1006">
        <v>4.4000000000000004</v>
      </c>
    </row>
    <row r="36" spans="3:17">
      <c r="C36" s="998"/>
      <c r="D36" s="1002"/>
      <c r="E36" s="978" t="s">
        <v>35</v>
      </c>
      <c r="F36" s="977" t="s">
        <v>35</v>
      </c>
      <c r="H36" s="977">
        <v>333</v>
      </c>
      <c r="I36" s="1007">
        <v>6.04</v>
      </c>
      <c r="J36" s="1006">
        <v>3.02</v>
      </c>
      <c r="K36" s="1006">
        <v>2.0099999999999998</v>
      </c>
      <c r="L36" s="1007">
        <v>13.48</v>
      </c>
      <c r="M36" s="1006">
        <v>6.74</v>
      </c>
      <c r="N36" s="1006">
        <v>4.49</v>
      </c>
      <c r="O36" s="1007">
        <v>13.2</v>
      </c>
      <c r="P36" s="1006">
        <v>6.6</v>
      </c>
      <c r="Q36" s="1006">
        <v>4.4000000000000004</v>
      </c>
    </row>
    <row r="37" spans="3:17">
      <c r="C37" s="998"/>
      <c r="D37" s="1002"/>
      <c r="E37" s="979"/>
      <c r="F37" s="977" t="s">
        <v>281</v>
      </c>
      <c r="H37" s="977">
        <v>334</v>
      </c>
      <c r="I37" s="1006">
        <v>6.04</v>
      </c>
      <c r="J37" s="1006">
        <v>3.02</v>
      </c>
      <c r="K37" s="1006">
        <v>2.0099999999999998</v>
      </c>
      <c r="L37" s="1006">
        <v>13.48</v>
      </c>
      <c r="M37" s="1006">
        <v>6.74</v>
      </c>
      <c r="N37" s="1006">
        <v>4.49</v>
      </c>
      <c r="O37" s="1006">
        <v>13.2</v>
      </c>
      <c r="P37" s="1006">
        <v>6.6</v>
      </c>
      <c r="Q37" s="1006">
        <v>4.4000000000000004</v>
      </c>
    </row>
    <row r="38" spans="3:17">
      <c r="C38" s="998"/>
      <c r="D38" s="1002"/>
      <c r="E38" s="980"/>
      <c r="F38" s="977" t="s">
        <v>36</v>
      </c>
      <c r="H38" s="977">
        <v>335</v>
      </c>
      <c r="I38" s="1006">
        <v>6.04</v>
      </c>
      <c r="J38" s="1006">
        <v>3.02</v>
      </c>
      <c r="K38" s="1006">
        <v>2.0099999999999998</v>
      </c>
      <c r="L38" s="1006">
        <v>13.48</v>
      </c>
      <c r="M38" s="1006">
        <v>6.74</v>
      </c>
      <c r="N38" s="1006">
        <v>4.49</v>
      </c>
      <c r="O38" s="1006">
        <v>13.2</v>
      </c>
      <c r="P38" s="1006">
        <v>6.6</v>
      </c>
      <c r="Q38" s="1006">
        <v>4.4000000000000004</v>
      </c>
    </row>
    <row r="39" spans="3:17">
      <c r="C39" s="998"/>
      <c r="D39" s="1002"/>
      <c r="E39" s="978" t="s">
        <v>281</v>
      </c>
      <c r="F39" s="977" t="s">
        <v>35</v>
      </c>
      <c r="H39" s="977">
        <v>343</v>
      </c>
      <c r="I39" s="1006">
        <v>6.04</v>
      </c>
      <c r="J39" s="1006">
        <v>3.02</v>
      </c>
      <c r="K39" s="1006">
        <v>2.0099999999999998</v>
      </c>
      <c r="L39" s="1006">
        <v>13.48</v>
      </c>
      <c r="M39" s="1006">
        <v>6.74</v>
      </c>
      <c r="N39" s="1006">
        <v>4.49</v>
      </c>
      <c r="O39" s="1006">
        <v>13.2</v>
      </c>
      <c r="P39" s="1006">
        <v>6.6</v>
      </c>
      <c r="Q39" s="1006">
        <v>4.4000000000000004</v>
      </c>
    </row>
    <row r="40" spans="3:17">
      <c r="C40" s="998"/>
      <c r="D40" s="1002"/>
      <c r="E40" s="979"/>
      <c r="F40" s="977" t="s">
        <v>281</v>
      </c>
      <c r="H40" s="977">
        <v>344</v>
      </c>
      <c r="I40" s="1006">
        <v>6.04</v>
      </c>
      <c r="J40" s="1006">
        <v>3.02</v>
      </c>
      <c r="K40" s="1006">
        <v>2.0099999999999998</v>
      </c>
      <c r="L40" s="1006">
        <v>13.48</v>
      </c>
      <c r="M40" s="1006">
        <v>6.74</v>
      </c>
      <c r="N40" s="1006">
        <v>4.49</v>
      </c>
      <c r="O40" s="1006">
        <v>13.2</v>
      </c>
      <c r="P40" s="1006">
        <v>6.6</v>
      </c>
      <c r="Q40" s="1006">
        <v>4.4000000000000004</v>
      </c>
    </row>
    <row r="41" spans="3:17">
      <c r="C41" s="999"/>
      <c r="D41" s="1003"/>
      <c r="E41" s="980"/>
      <c r="F41" s="977" t="s">
        <v>36</v>
      </c>
      <c r="H41" s="977">
        <v>345</v>
      </c>
      <c r="I41" s="1006">
        <v>6.04</v>
      </c>
      <c r="J41" s="1006">
        <v>3.02</v>
      </c>
      <c r="K41" s="1006">
        <v>2.0099999999999998</v>
      </c>
      <c r="L41" s="1006">
        <v>13.48</v>
      </c>
      <c r="M41" s="1006">
        <v>6.74</v>
      </c>
      <c r="N41" s="1006">
        <v>4.49</v>
      </c>
      <c r="O41" s="1006">
        <v>13.2</v>
      </c>
      <c r="P41" s="1006">
        <v>6.6</v>
      </c>
      <c r="Q41" s="1006">
        <v>4.4000000000000004</v>
      </c>
    </row>
    <row r="42" spans="3:17">
      <c r="C42" s="1004" t="s">
        <v>281</v>
      </c>
      <c r="D42" s="1001"/>
      <c r="E42" s="978" t="s">
        <v>34</v>
      </c>
      <c r="F42" s="977" t="s">
        <v>35</v>
      </c>
      <c r="H42" s="977">
        <v>413</v>
      </c>
      <c r="I42" s="1006">
        <v>6.04</v>
      </c>
      <c r="J42" s="1006">
        <v>3.02</v>
      </c>
      <c r="K42" s="1006">
        <v>2.0099999999999998</v>
      </c>
      <c r="L42" s="1006">
        <v>13.48</v>
      </c>
      <c r="M42" s="1006">
        <v>6.74</v>
      </c>
      <c r="N42" s="1006">
        <v>4.49</v>
      </c>
      <c r="O42" s="1006">
        <v>13.2</v>
      </c>
      <c r="P42" s="1006">
        <v>6.6</v>
      </c>
      <c r="Q42" s="1006">
        <v>4.4000000000000004</v>
      </c>
    </row>
    <row r="43" spans="3:17">
      <c r="C43" s="998"/>
      <c r="D43" s="1002"/>
      <c r="E43" s="979"/>
      <c r="F43" s="977" t="s">
        <v>281</v>
      </c>
      <c r="H43" s="977">
        <v>414</v>
      </c>
      <c r="I43" s="1006">
        <v>6.04</v>
      </c>
      <c r="J43" s="1006">
        <v>3.02</v>
      </c>
      <c r="K43" s="1006">
        <v>2.0099999999999998</v>
      </c>
      <c r="L43" s="1006">
        <v>13.48</v>
      </c>
      <c r="M43" s="1006">
        <v>6.74</v>
      </c>
      <c r="N43" s="1006">
        <v>4.49</v>
      </c>
      <c r="O43" s="1006">
        <v>13.2</v>
      </c>
      <c r="P43" s="1006">
        <v>6.6</v>
      </c>
      <c r="Q43" s="1006">
        <v>4.4000000000000004</v>
      </c>
    </row>
    <row r="44" spans="3:17">
      <c r="C44" s="998"/>
      <c r="D44" s="1002"/>
      <c r="E44" s="980"/>
      <c r="F44" s="977" t="s">
        <v>36</v>
      </c>
      <c r="H44" s="977">
        <v>415</v>
      </c>
      <c r="I44" s="1006">
        <v>6.04</v>
      </c>
      <c r="J44" s="1006">
        <v>3.02</v>
      </c>
      <c r="K44" s="1006">
        <v>2.0099999999999998</v>
      </c>
      <c r="L44" s="1006">
        <v>13.48</v>
      </c>
      <c r="M44" s="1006">
        <v>6.74</v>
      </c>
      <c r="N44" s="1006">
        <v>4.49</v>
      </c>
      <c r="O44" s="1006">
        <v>13.2</v>
      </c>
      <c r="P44" s="1006">
        <v>6.6</v>
      </c>
      <c r="Q44" s="1006">
        <v>4.4000000000000004</v>
      </c>
    </row>
    <row r="45" spans="3:17">
      <c r="C45" s="998"/>
      <c r="D45" s="1002"/>
      <c r="E45" s="978" t="s">
        <v>280</v>
      </c>
      <c r="F45" s="977" t="s">
        <v>35</v>
      </c>
      <c r="H45" s="977">
        <v>423</v>
      </c>
      <c r="I45" s="1006">
        <v>6.04</v>
      </c>
      <c r="J45" s="1006">
        <v>3.02</v>
      </c>
      <c r="K45" s="1006">
        <v>2.0099999999999998</v>
      </c>
      <c r="L45" s="1006">
        <v>13.48</v>
      </c>
      <c r="M45" s="1006">
        <v>6.74</v>
      </c>
      <c r="N45" s="1006">
        <v>4.49</v>
      </c>
      <c r="O45" s="1006">
        <v>13.2</v>
      </c>
      <c r="P45" s="1006">
        <v>6.6</v>
      </c>
      <c r="Q45" s="1006">
        <v>4.4000000000000004</v>
      </c>
    </row>
    <row r="46" spans="3:17">
      <c r="C46" s="998"/>
      <c r="D46" s="1002"/>
      <c r="E46" s="979"/>
      <c r="F46" s="977" t="s">
        <v>281</v>
      </c>
      <c r="H46" s="977">
        <v>424</v>
      </c>
      <c r="I46" s="1006">
        <v>6.04</v>
      </c>
      <c r="J46" s="1006">
        <v>3.02</v>
      </c>
      <c r="K46" s="1006">
        <v>2.0099999999999998</v>
      </c>
      <c r="L46" s="1006">
        <v>13.48</v>
      </c>
      <c r="M46" s="1006">
        <v>6.74</v>
      </c>
      <c r="N46" s="1006">
        <v>4.49</v>
      </c>
      <c r="O46" s="1006">
        <v>13.2</v>
      </c>
      <c r="P46" s="1006">
        <v>6.6</v>
      </c>
      <c r="Q46" s="1006">
        <v>4.4000000000000004</v>
      </c>
    </row>
    <row r="47" spans="3:17">
      <c r="C47" s="998"/>
      <c r="D47" s="1002"/>
      <c r="E47" s="980"/>
      <c r="F47" s="977" t="s">
        <v>36</v>
      </c>
      <c r="H47" s="977">
        <v>425</v>
      </c>
      <c r="I47" s="1006">
        <v>6.04</v>
      </c>
      <c r="J47" s="1006">
        <v>3.02</v>
      </c>
      <c r="K47" s="1006">
        <v>2.0099999999999998</v>
      </c>
      <c r="L47" s="1006">
        <v>13.48</v>
      </c>
      <c r="M47" s="1006">
        <v>6.74</v>
      </c>
      <c r="N47" s="1006">
        <v>4.49</v>
      </c>
      <c r="O47" s="1006">
        <v>13.2</v>
      </c>
      <c r="P47" s="1006">
        <v>6.6</v>
      </c>
      <c r="Q47" s="1006">
        <v>4.4000000000000004</v>
      </c>
    </row>
    <row r="48" spans="3:17">
      <c r="C48" s="998"/>
      <c r="D48" s="1002"/>
      <c r="E48" s="978" t="s">
        <v>35</v>
      </c>
      <c r="F48" s="977" t="s">
        <v>35</v>
      </c>
      <c r="H48" s="977">
        <v>433</v>
      </c>
      <c r="I48" s="1006">
        <v>6.04</v>
      </c>
      <c r="J48" s="1006">
        <v>3.02</v>
      </c>
      <c r="K48" s="1006">
        <v>2.0099999999999998</v>
      </c>
      <c r="L48" s="1006">
        <v>13.48</v>
      </c>
      <c r="M48" s="1006">
        <v>6.74</v>
      </c>
      <c r="N48" s="1006">
        <v>4.49</v>
      </c>
      <c r="O48" s="1006">
        <v>13.2</v>
      </c>
      <c r="P48" s="1006">
        <v>6.6</v>
      </c>
      <c r="Q48" s="1006">
        <v>4.4000000000000004</v>
      </c>
    </row>
    <row r="49" spans="3:17">
      <c r="C49" s="998"/>
      <c r="D49" s="1002"/>
      <c r="E49" s="979"/>
      <c r="F49" s="977" t="s">
        <v>281</v>
      </c>
      <c r="H49" s="977">
        <v>434</v>
      </c>
      <c r="I49" s="1006">
        <v>6.04</v>
      </c>
      <c r="J49" s="1006">
        <v>3.02</v>
      </c>
      <c r="K49" s="1006">
        <v>2.0099999999999998</v>
      </c>
      <c r="L49" s="1006">
        <v>13.48</v>
      </c>
      <c r="M49" s="1006">
        <v>6.74</v>
      </c>
      <c r="N49" s="1006">
        <v>4.49</v>
      </c>
      <c r="O49" s="1006">
        <v>13.2</v>
      </c>
      <c r="P49" s="1006">
        <v>6.6</v>
      </c>
      <c r="Q49" s="1006">
        <v>4.4000000000000004</v>
      </c>
    </row>
    <row r="50" spans="3:17">
      <c r="C50" s="998"/>
      <c r="D50" s="1002"/>
      <c r="E50" s="980"/>
      <c r="F50" s="977" t="s">
        <v>36</v>
      </c>
      <c r="H50" s="977">
        <v>435</v>
      </c>
      <c r="I50" s="1006">
        <v>6.04</v>
      </c>
      <c r="J50" s="1006">
        <v>3.02</v>
      </c>
      <c r="K50" s="1006">
        <v>2.0099999999999998</v>
      </c>
      <c r="L50" s="1006">
        <v>13.48</v>
      </c>
      <c r="M50" s="1006">
        <v>6.74</v>
      </c>
      <c r="N50" s="1006">
        <v>4.49</v>
      </c>
      <c r="O50" s="1006">
        <v>13.2</v>
      </c>
      <c r="P50" s="1006">
        <v>6.6</v>
      </c>
      <c r="Q50" s="1006">
        <v>4.4000000000000004</v>
      </c>
    </row>
    <row r="51" spans="3:17">
      <c r="C51" s="998"/>
      <c r="D51" s="1002"/>
      <c r="E51" s="978" t="s">
        <v>281</v>
      </c>
      <c r="F51" s="977" t="s">
        <v>35</v>
      </c>
      <c r="H51" s="977">
        <v>443</v>
      </c>
      <c r="I51" s="1006">
        <v>6.04</v>
      </c>
      <c r="J51" s="1006">
        <v>3.02</v>
      </c>
      <c r="K51" s="1006">
        <v>2.0099999999999998</v>
      </c>
      <c r="L51" s="1006">
        <v>13.48</v>
      </c>
      <c r="M51" s="1006">
        <v>6.74</v>
      </c>
      <c r="N51" s="1006">
        <v>4.49</v>
      </c>
      <c r="O51" s="1006">
        <v>13.2</v>
      </c>
      <c r="P51" s="1006">
        <v>6.6</v>
      </c>
      <c r="Q51" s="1006">
        <v>4.4000000000000004</v>
      </c>
    </row>
    <row r="52" spans="3:17">
      <c r="C52" s="998"/>
      <c r="D52" s="1002"/>
      <c r="E52" s="979"/>
      <c r="F52" s="977" t="s">
        <v>281</v>
      </c>
      <c r="H52" s="977">
        <v>444</v>
      </c>
      <c r="I52" s="1006">
        <v>6.04</v>
      </c>
      <c r="J52" s="1006">
        <v>3.02</v>
      </c>
      <c r="K52" s="1006">
        <v>2.0099999999999998</v>
      </c>
      <c r="L52" s="1006">
        <v>13.48</v>
      </c>
      <c r="M52" s="1006">
        <v>6.74</v>
      </c>
      <c r="N52" s="1006">
        <v>4.49</v>
      </c>
      <c r="O52" s="1006">
        <v>13.2</v>
      </c>
      <c r="P52" s="1006">
        <v>6.6</v>
      </c>
      <c r="Q52" s="1006">
        <v>4.4000000000000004</v>
      </c>
    </row>
    <row r="53" spans="3:17">
      <c r="C53" s="999"/>
      <c r="D53" s="1003"/>
      <c r="E53" s="980"/>
      <c r="F53" s="977" t="s">
        <v>36</v>
      </c>
      <c r="H53" s="977">
        <v>445</v>
      </c>
      <c r="I53" s="1006">
        <v>6.04</v>
      </c>
      <c r="J53" s="1006">
        <v>3.02</v>
      </c>
      <c r="K53" s="1006">
        <v>2.0099999999999998</v>
      </c>
      <c r="L53" s="1006">
        <v>13.48</v>
      </c>
      <c r="M53" s="1006">
        <v>6.74</v>
      </c>
      <c r="N53" s="1006">
        <v>4.49</v>
      </c>
      <c r="O53" s="1006">
        <v>13.2</v>
      </c>
      <c r="P53" s="1006">
        <v>6.6</v>
      </c>
      <c r="Q53" s="1006">
        <v>4.4000000000000004</v>
      </c>
    </row>
    <row r="54" spans="3:17" ht="13.5" customHeight="1"/>
    <row r="55" spans="3:17" ht="16.5">
      <c r="C55" s="983" t="s">
        <v>699</v>
      </c>
      <c r="D55" s="983"/>
      <c r="I55" s="1083" t="s">
        <v>698</v>
      </c>
      <c r="J55" s="1092"/>
      <c r="K55" s="1092"/>
      <c r="L55" s="1093"/>
      <c r="M55" s="1093"/>
      <c r="N55" s="1093"/>
      <c r="O55" s="1093"/>
      <c r="P55" s="1093"/>
      <c r="Q55" s="1094"/>
    </row>
    <row r="56" spans="3:17" s="973" customFormat="1" ht="14.25">
      <c r="F56" s="965" t="s">
        <v>692</v>
      </c>
      <c r="I56" s="1095" t="s">
        <v>299</v>
      </c>
      <c r="J56" s="1096"/>
      <c r="K56" s="1097"/>
      <c r="L56" s="1095" t="s">
        <v>300</v>
      </c>
      <c r="M56" s="1096"/>
      <c r="N56" s="1097"/>
      <c r="O56" s="1095" t="s">
        <v>301</v>
      </c>
      <c r="P56" s="1096"/>
      <c r="Q56" s="1098"/>
    </row>
    <row r="57" spans="3:17" ht="16.5">
      <c r="C57" s="997" t="s">
        <v>693</v>
      </c>
      <c r="D57" s="1000"/>
      <c r="E57" s="981" t="s">
        <v>694</v>
      </c>
      <c r="F57" s="975" t="s">
        <v>695</v>
      </c>
      <c r="H57" s="976"/>
      <c r="I57" s="1099" t="s">
        <v>35</v>
      </c>
      <c r="J57" s="1099" t="s">
        <v>281</v>
      </c>
      <c r="K57" s="1099" t="s">
        <v>36</v>
      </c>
      <c r="L57" s="1099" t="s">
        <v>35</v>
      </c>
      <c r="M57" s="1099" t="s">
        <v>281</v>
      </c>
      <c r="N57" s="1099" t="s">
        <v>36</v>
      </c>
      <c r="O57" s="1099" t="s">
        <v>35</v>
      </c>
      <c r="P57" s="1099" t="s">
        <v>281</v>
      </c>
      <c r="Q57" s="1099" t="s">
        <v>36</v>
      </c>
    </row>
    <row r="58" spans="3:17">
      <c r="C58" s="1004" t="s">
        <v>34</v>
      </c>
      <c r="D58" s="1001"/>
      <c r="E58" s="978" t="s">
        <v>34</v>
      </c>
      <c r="F58" s="977" t="s">
        <v>35</v>
      </c>
      <c r="H58" s="977">
        <v>113</v>
      </c>
      <c r="I58" s="1208">
        <v>4.3599999999999994</v>
      </c>
      <c r="J58" s="1208">
        <v>5.46</v>
      </c>
      <c r="K58" s="1208">
        <v>6.2</v>
      </c>
      <c r="L58" s="1208">
        <v>4.76</v>
      </c>
      <c r="M58" s="1208">
        <v>6.3</v>
      </c>
      <c r="N58" s="1208">
        <v>7.18</v>
      </c>
      <c r="O58" s="1208">
        <v>2.6500000000000004</v>
      </c>
      <c r="P58" s="1208">
        <v>3.66</v>
      </c>
      <c r="Q58" s="1208">
        <v>4.04</v>
      </c>
    </row>
    <row r="59" spans="3:17">
      <c r="C59" s="998"/>
      <c r="D59" s="1002"/>
      <c r="E59" s="979"/>
      <c r="F59" s="977" t="s">
        <v>281</v>
      </c>
      <c r="H59" s="977">
        <v>114</v>
      </c>
      <c r="I59" s="1208">
        <v>4.3599999999999994</v>
      </c>
      <c r="J59" s="1208">
        <v>5.46</v>
      </c>
      <c r="K59" s="1208">
        <v>6.2</v>
      </c>
      <c r="L59" s="1208">
        <v>4.76</v>
      </c>
      <c r="M59" s="1208">
        <v>6.3</v>
      </c>
      <c r="N59" s="1208">
        <v>7.18</v>
      </c>
      <c r="O59" s="1208">
        <v>2.6500000000000004</v>
      </c>
      <c r="P59" s="1208">
        <v>3.66</v>
      </c>
      <c r="Q59" s="1208">
        <v>4.04</v>
      </c>
    </row>
    <row r="60" spans="3:17">
      <c r="C60" s="998"/>
      <c r="D60" s="1002"/>
      <c r="E60" s="980"/>
      <c r="F60" s="977" t="s">
        <v>36</v>
      </c>
      <c r="H60" s="977">
        <v>115</v>
      </c>
      <c r="I60" s="1208">
        <v>4.3599999999999994</v>
      </c>
      <c r="J60" s="1208">
        <v>5.46</v>
      </c>
      <c r="K60" s="1208">
        <v>6.2</v>
      </c>
      <c r="L60" s="1208">
        <v>4.76</v>
      </c>
      <c r="M60" s="1208">
        <v>6.3</v>
      </c>
      <c r="N60" s="1208">
        <v>7.18</v>
      </c>
      <c r="O60" s="1208">
        <v>2.6500000000000004</v>
      </c>
      <c r="P60" s="1208">
        <v>3.66</v>
      </c>
      <c r="Q60" s="1208">
        <v>4.04</v>
      </c>
    </row>
    <row r="61" spans="3:17">
      <c r="C61" s="998"/>
      <c r="D61" s="1002"/>
      <c r="E61" s="978" t="s">
        <v>280</v>
      </c>
      <c r="F61" s="977" t="s">
        <v>35</v>
      </c>
      <c r="H61" s="977">
        <v>123</v>
      </c>
      <c r="I61" s="1208">
        <v>4.3599999999999994</v>
      </c>
      <c r="J61" s="1208">
        <v>5.46</v>
      </c>
      <c r="K61" s="1208">
        <v>6.2</v>
      </c>
      <c r="L61" s="1208">
        <v>4.76</v>
      </c>
      <c r="M61" s="1208">
        <v>6.3</v>
      </c>
      <c r="N61" s="1208">
        <v>7.18</v>
      </c>
      <c r="O61" s="1208">
        <v>2.6500000000000004</v>
      </c>
      <c r="P61" s="1208">
        <v>3.66</v>
      </c>
      <c r="Q61" s="1208">
        <v>4.04</v>
      </c>
    </row>
    <row r="62" spans="3:17">
      <c r="C62" s="998"/>
      <c r="D62" s="1002"/>
      <c r="E62" s="979"/>
      <c r="F62" s="977" t="s">
        <v>281</v>
      </c>
      <c r="H62" s="977">
        <v>124</v>
      </c>
      <c r="I62" s="1208">
        <v>3.92</v>
      </c>
      <c r="J62" s="1208">
        <v>5.0199999999999996</v>
      </c>
      <c r="K62" s="1208">
        <v>5.75</v>
      </c>
      <c r="L62" s="1208">
        <v>4.32</v>
      </c>
      <c r="M62" s="1208">
        <v>5.8500000000000005</v>
      </c>
      <c r="N62" s="1208">
        <v>6.73</v>
      </c>
      <c r="O62" s="1208">
        <v>2.6100000000000003</v>
      </c>
      <c r="P62" s="1208">
        <v>3.62</v>
      </c>
      <c r="Q62" s="1208">
        <v>4.01</v>
      </c>
    </row>
    <row r="63" spans="3:17">
      <c r="C63" s="998"/>
      <c r="D63" s="1002"/>
      <c r="E63" s="980"/>
      <c r="F63" s="977" t="s">
        <v>36</v>
      </c>
      <c r="H63" s="977">
        <v>125</v>
      </c>
      <c r="I63" s="1208">
        <v>3.4699999999999998</v>
      </c>
      <c r="J63" s="1208">
        <v>5.0199999999999996</v>
      </c>
      <c r="K63" s="1208">
        <v>5.6099999999999994</v>
      </c>
      <c r="L63" s="1208">
        <v>3.87</v>
      </c>
      <c r="M63" s="1208">
        <v>5.8500000000000005</v>
      </c>
      <c r="N63" s="1208">
        <v>6.58</v>
      </c>
      <c r="O63" s="1208">
        <v>2.58</v>
      </c>
      <c r="P63" s="1208">
        <v>3.62</v>
      </c>
      <c r="Q63" s="1208">
        <v>4</v>
      </c>
    </row>
    <row r="64" spans="3:17">
      <c r="C64" s="998"/>
      <c r="D64" s="1002"/>
      <c r="E64" s="978" t="s">
        <v>35</v>
      </c>
      <c r="F64" s="977" t="s">
        <v>35</v>
      </c>
      <c r="H64" s="977">
        <v>133</v>
      </c>
      <c r="I64" s="1208">
        <v>3.4699999999999998</v>
      </c>
      <c r="J64" s="1208">
        <v>4.79</v>
      </c>
      <c r="K64" s="1208">
        <v>5.6099999999999994</v>
      </c>
      <c r="L64" s="1208">
        <v>3.87</v>
      </c>
      <c r="M64" s="1208">
        <v>5.62</v>
      </c>
      <c r="N64" s="1208">
        <v>6.58</v>
      </c>
      <c r="O64" s="1208">
        <v>2.58</v>
      </c>
      <c r="P64" s="1208">
        <v>3.61</v>
      </c>
      <c r="Q64" s="1208">
        <v>4</v>
      </c>
    </row>
    <row r="65" spans="3:17">
      <c r="C65" s="998"/>
      <c r="D65" s="1002"/>
      <c r="E65" s="979"/>
      <c r="F65" s="977" t="s">
        <v>281</v>
      </c>
      <c r="H65" s="977">
        <v>134</v>
      </c>
      <c r="I65" s="1208">
        <v>3.4699999999999998</v>
      </c>
      <c r="J65" s="1208">
        <v>4.79</v>
      </c>
      <c r="K65" s="1208">
        <v>5.32</v>
      </c>
      <c r="L65" s="1208">
        <v>3.87</v>
      </c>
      <c r="M65" s="1208">
        <v>5.62</v>
      </c>
      <c r="N65" s="1208">
        <v>6.29</v>
      </c>
      <c r="O65" s="1208">
        <v>2.58</v>
      </c>
      <c r="P65" s="1208">
        <v>3.61</v>
      </c>
      <c r="Q65" s="1208">
        <v>3.9699999999999998</v>
      </c>
    </row>
    <row r="66" spans="3:17">
      <c r="C66" s="998"/>
      <c r="D66" s="1002"/>
      <c r="E66" s="980"/>
      <c r="F66" s="977" t="s">
        <v>36</v>
      </c>
      <c r="H66" s="977">
        <v>135</v>
      </c>
      <c r="I66" s="1208">
        <v>3.4699999999999998</v>
      </c>
      <c r="J66" s="1208">
        <v>4.57</v>
      </c>
      <c r="K66" s="1208">
        <v>5.32</v>
      </c>
      <c r="L66" s="1208">
        <v>3.87</v>
      </c>
      <c r="M66" s="1208">
        <v>5.39</v>
      </c>
      <c r="N66" s="1208">
        <v>6.29</v>
      </c>
      <c r="O66" s="1208">
        <v>2.58</v>
      </c>
      <c r="P66" s="1208">
        <v>3.59</v>
      </c>
      <c r="Q66" s="1208">
        <v>3.9699999999999998</v>
      </c>
    </row>
    <row r="67" spans="3:17">
      <c r="C67" s="998"/>
      <c r="D67" s="1002"/>
      <c r="E67" s="978" t="s">
        <v>281</v>
      </c>
      <c r="F67" s="977" t="s">
        <v>35</v>
      </c>
      <c r="H67" s="977">
        <v>143</v>
      </c>
      <c r="I67" s="1208">
        <v>3.4699999999999998</v>
      </c>
      <c r="J67" s="1208">
        <v>4.57</v>
      </c>
      <c r="K67" s="1208">
        <v>5.32</v>
      </c>
      <c r="L67" s="1208">
        <v>3.87</v>
      </c>
      <c r="M67" s="1208">
        <v>5.39</v>
      </c>
      <c r="N67" s="1208">
        <v>6.27</v>
      </c>
      <c r="O67" s="1208">
        <v>2.58</v>
      </c>
      <c r="P67" s="1208">
        <v>3.59</v>
      </c>
      <c r="Q67" s="1208">
        <v>3.9699999999999998</v>
      </c>
    </row>
    <row r="68" spans="3:17">
      <c r="C68" s="998"/>
      <c r="D68" s="1002"/>
      <c r="E68" s="979"/>
      <c r="F68" s="977" t="s">
        <v>281</v>
      </c>
      <c r="H68" s="977">
        <v>144</v>
      </c>
      <c r="I68" s="1208">
        <v>3.4699999999999998</v>
      </c>
      <c r="J68" s="1208">
        <v>4.57</v>
      </c>
      <c r="K68" s="1208">
        <v>5.17</v>
      </c>
      <c r="L68" s="1208">
        <v>3.87</v>
      </c>
      <c r="M68" s="1208">
        <v>5.39</v>
      </c>
      <c r="N68" s="1208">
        <v>6.13</v>
      </c>
      <c r="O68" s="1208">
        <v>2.58</v>
      </c>
      <c r="P68" s="1208">
        <v>3.59</v>
      </c>
      <c r="Q68" s="1208">
        <v>3.96</v>
      </c>
    </row>
    <row r="69" spans="3:17">
      <c r="C69" s="999"/>
      <c r="D69" s="1003"/>
      <c r="E69" s="980"/>
      <c r="F69" s="977" t="s">
        <v>36</v>
      </c>
      <c r="H69" s="977">
        <v>145</v>
      </c>
      <c r="I69" s="1208">
        <v>3.4699999999999998</v>
      </c>
      <c r="J69" s="1208">
        <v>4.57</v>
      </c>
      <c r="K69" s="1208">
        <v>5.17</v>
      </c>
      <c r="L69" s="1208">
        <v>3.87</v>
      </c>
      <c r="M69" s="1208">
        <v>5.39</v>
      </c>
      <c r="N69" s="1208">
        <v>6.13</v>
      </c>
      <c r="O69" s="1208">
        <v>2.58</v>
      </c>
      <c r="P69" s="1208">
        <v>3.59</v>
      </c>
      <c r="Q69" s="1208">
        <v>3.96</v>
      </c>
    </row>
    <row r="70" spans="3:17">
      <c r="C70" s="1004" t="s">
        <v>280</v>
      </c>
      <c r="D70" s="1001"/>
      <c r="E70" s="978" t="s">
        <v>34</v>
      </c>
      <c r="F70" s="977" t="s">
        <v>35</v>
      </c>
      <c r="H70" s="977">
        <v>213</v>
      </c>
      <c r="I70" s="1208">
        <v>4.3599999999999994</v>
      </c>
      <c r="J70" s="1208">
        <v>5.46</v>
      </c>
      <c r="K70" s="1208">
        <v>6.2</v>
      </c>
      <c r="L70" s="1208">
        <v>4.76</v>
      </c>
      <c r="M70" s="1208">
        <v>6.3</v>
      </c>
      <c r="N70" s="1208">
        <v>7.18</v>
      </c>
      <c r="O70" s="1208">
        <v>2.6500000000000004</v>
      </c>
      <c r="P70" s="1208">
        <v>3.66</v>
      </c>
      <c r="Q70" s="1208">
        <v>4.04</v>
      </c>
    </row>
    <row r="71" spans="3:17">
      <c r="C71" s="998"/>
      <c r="D71" s="1002"/>
      <c r="E71" s="979"/>
      <c r="F71" s="977" t="s">
        <v>281</v>
      </c>
      <c r="H71" s="977">
        <v>214</v>
      </c>
      <c r="I71" s="1208">
        <v>3.79</v>
      </c>
      <c r="J71" s="1208">
        <v>4.9099999999999993</v>
      </c>
      <c r="K71" s="1208">
        <v>5.6400000000000006</v>
      </c>
      <c r="L71" s="1208">
        <v>4.17</v>
      </c>
      <c r="M71" s="1208">
        <v>5.7</v>
      </c>
      <c r="N71" s="1208">
        <v>6.59</v>
      </c>
      <c r="O71" s="1208">
        <v>2.6500000000000004</v>
      </c>
      <c r="P71" s="1208">
        <v>3.66</v>
      </c>
      <c r="Q71" s="1208">
        <v>4.04</v>
      </c>
    </row>
    <row r="72" spans="3:17">
      <c r="C72" s="998"/>
      <c r="D72" s="1002"/>
      <c r="E72" s="980"/>
      <c r="F72" s="977" t="s">
        <v>36</v>
      </c>
      <c r="H72" s="977">
        <v>215</v>
      </c>
      <c r="I72" s="1208">
        <v>3.24</v>
      </c>
      <c r="J72" s="1208">
        <v>4.9099999999999993</v>
      </c>
      <c r="K72" s="1208">
        <v>5.45</v>
      </c>
      <c r="L72" s="1208">
        <v>3.57</v>
      </c>
      <c r="M72" s="1208">
        <v>5.7</v>
      </c>
      <c r="N72" s="1208">
        <v>6.38</v>
      </c>
      <c r="O72" s="1208">
        <v>2.6500000000000004</v>
      </c>
      <c r="P72" s="1208">
        <v>3.66</v>
      </c>
      <c r="Q72" s="1208">
        <v>4.04</v>
      </c>
    </row>
    <row r="73" spans="3:17">
      <c r="C73" s="998"/>
      <c r="D73" s="1002"/>
      <c r="E73" s="978" t="s">
        <v>280</v>
      </c>
      <c r="F73" s="977" t="s">
        <v>35</v>
      </c>
      <c r="H73" s="977">
        <v>223</v>
      </c>
      <c r="I73" s="1208">
        <v>4.3599999999999994</v>
      </c>
      <c r="J73" s="1208">
        <v>5.46</v>
      </c>
      <c r="K73" s="1208">
        <v>6.2</v>
      </c>
      <c r="L73" s="1208">
        <v>4.76</v>
      </c>
      <c r="M73" s="1208">
        <v>6.3</v>
      </c>
      <c r="N73" s="1208">
        <v>7.18</v>
      </c>
      <c r="O73" s="1208">
        <v>2.6500000000000004</v>
      </c>
      <c r="P73" s="1208">
        <v>3.66</v>
      </c>
      <c r="Q73" s="1208">
        <v>4.04</v>
      </c>
    </row>
    <row r="74" spans="3:17">
      <c r="C74" s="998"/>
      <c r="D74" s="1002"/>
      <c r="E74" s="979"/>
      <c r="F74" s="977" t="s">
        <v>281</v>
      </c>
      <c r="H74" s="977">
        <v>224</v>
      </c>
      <c r="I74" s="1208">
        <v>3.35</v>
      </c>
      <c r="J74" s="1208">
        <v>4.46</v>
      </c>
      <c r="K74" s="1208">
        <v>5.19</v>
      </c>
      <c r="L74" s="1208">
        <v>3.7199999999999998</v>
      </c>
      <c r="M74" s="1208">
        <v>5.2399999999999993</v>
      </c>
      <c r="N74" s="1208">
        <v>6.1400000000000006</v>
      </c>
      <c r="O74" s="1208">
        <v>2.6100000000000003</v>
      </c>
      <c r="P74" s="1208">
        <v>3.62</v>
      </c>
      <c r="Q74" s="1208">
        <v>4.01</v>
      </c>
    </row>
    <row r="75" spans="3:17">
      <c r="C75" s="998"/>
      <c r="D75" s="1002"/>
      <c r="E75" s="980"/>
      <c r="F75" s="977" t="s">
        <v>36</v>
      </c>
      <c r="H75" s="977">
        <v>225</v>
      </c>
      <c r="I75" s="1208">
        <v>2.35</v>
      </c>
      <c r="J75" s="1208">
        <v>4.46</v>
      </c>
      <c r="K75" s="1208">
        <v>4.8600000000000003</v>
      </c>
      <c r="L75" s="1208">
        <v>2.67</v>
      </c>
      <c r="M75" s="1208">
        <v>5.2399999999999993</v>
      </c>
      <c r="N75" s="1208">
        <v>5.79</v>
      </c>
      <c r="O75" s="1208">
        <v>2.58</v>
      </c>
      <c r="P75" s="1208">
        <v>3.62</v>
      </c>
      <c r="Q75" s="1208">
        <v>4</v>
      </c>
    </row>
    <row r="76" spans="3:17">
      <c r="C76" s="998"/>
      <c r="D76" s="1002"/>
      <c r="E76" s="978" t="s">
        <v>35</v>
      </c>
      <c r="F76" s="977" t="s">
        <v>35</v>
      </c>
      <c r="H76" s="977">
        <v>233</v>
      </c>
      <c r="I76" s="1208">
        <v>3.4699999999999998</v>
      </c>
      <c r="J76" s="1208">
        <v>4.79</v>
      </c>
      <c r="K76" s="1208">
        <v>5.6099999999999994</v>
      </c>
      <c r="L76" s="1208">
        <v>3.87</v>
      </c>
      <c r="M76" s="1208">
        <v>5.62</v>
      </c>
      <c r="N76" s="1208">
        <v>6.58</v>
      </c>
      <c r="O76" s="1208">
        <v>2.58</v>
      </c>
      <c r="P76" s="1208">
        <v>3.61</v>
      </c>
      <c r="Q76" s="1208">
        <v>4</v>
      </c>
    </row>
    <row r="77" spans="3:17">
      <c r="C77" s="998"/>
      <c r="D77" s="1002"/>
      <c r="E77" s="979"/>
      <c r="F77" s="977" t="s">
        <v>281</v>
      </c>
      <c r="H77" s="977">
        <v>234</v>
      </c>
      <c r="I77" s="1208">
        <v>2.9</v>
      </c>
      <c r="J77" s="1208">
        <v>4.24</v>
      </c>
      <c r="K77" s="1208">
        <v>4.75</v>
      </c>
      <c r="L77" s="1208">
        <v>3.26</v>
      </c>
      <c r="M77" s="1208">
        <v>5.0199999999999996</v>
      </c>
      <c r="N77" s="1208">
        <v>5.68</v>
      </c>
      <c r="O77" s="1208">
        <v>2.58</v>
      </c>
      <c r="P77" s="1208">
        <v>3.61</v>
      </c>
      <c r="Q77" s="1208">
        <v>3.9699999999999998</v>
      </c>
    </row>
    <row r="78" spans="3:17">
      <c r="C78" s="998"/>
      <c r="D78" s="1002"/>
      <c r="E78" s="980"/>
      <c r="F78" s="977" t="s">
        <v>36</v>
      </c>
      <c r="H78" s="977">
        <v>235</v>
      </c>
      <c r="I78" s="1208">
        <v>2.35</v>
      </c>
      <c r="J78" s="1208">
        <v>4.01</v>
      </c>
      <c r="K78" s="1208">
        <v>4.5599999999999996</v>
      </c>
      <c r="L78" s="1208">
        <v>2.67</v>
      </c>
      <c r="M78" s="1208">
        <v>4.79</v>
      </c>
      <c r="N78" s="1208">
        <v>5.49</v>
      </c>
      <c r="O78" s="1208">
        <v>2.58</v>
      </c>
      <c r="P78" s="1208">
        <v>3.59</v>
      </c>
      <c r="Q78" s="1208">
        <v>3.9699999999999998</v>
      </c>
    </row>
    <row r="79" spans="3:17">
      <c r="C79" s="998"/>
      <c r="D79" s="1002"/>
      <c r="E79" s="978" t="s">
        <v>281</v>
      </c>
      <c r="F79" s="977" t="s">
        <v>35</v>
      </c>
      <c r="H79" s="977">
        <v>243</v>
      </c>
      <c r="I79" s="1208">
        <v>3.4699999999999998</v>
      </c>
      <c r="J79" s="1208">
        <v>4.57</v>
      </c>
      <c r="K79" s="1208">
        <v>5.32</v>
      </c>
      <c r="L79" s="1208">
        <v>3.87</v>
      </c>
      <c r="M79" s="1208">
        <v>5.39</v>
      </c>
      <c r="N79" s="1208">
        <v>6.29</v>
      </c>
      <c r="O79" s="1208">
        <v>2.58</v>
      </c>
      <c r="P79" s="1208">
        <v>3.59</v>
      </c>
      <c r="Q79" s="1208">
        <v>3.9699999999999998</v>
      </c>
    </row>
    <row r="80" spans="3:17">
      <c r="C80" s="998"/>
      <c r="D80" s="1002"/>
      <c r="E80" s="979"/>
      <c r="F80" s="977" t="s">
        <v>281</v>
      </c>
      <c r="H80" s="977">
        <v>244</v>
      </c>
      <c r="I80" s="1208">
        <v>2.9</v>
      </c>
      <c r="J80" s="1208">
        <v>4.01</v>
      </c>
      <c r="K80" s="1208">
        <v>4.5999999999999996</v>
      </c>
      <c r="L80" s="1208">
        <v>3.26</v>
      </c>
      <c r="M80" s="1208">
        <v>4.79</v>
      </c>
      <c r="N80" s="1208">
        <v>5.53</v>
      </c>
      <c r="O80" s="1208">
        <v>2.58</v>
      </c>
      <c r="P80" s="1208">
        <v>3.59</v>
      </c>
      <c r="Q80" s="1208">
        <v>3.96</v>
      </c>
    </row>
    <row r="81" spans="3:17">
      <c r="C81" s="999"/>
      <c r="D81" s="1003"/>
      <c r="E81" s="980"/>
      <c r="F81" s="977" t="s">
        <v>36</v>
      </c>
      <c r="H81" s="977">
        <v>245</v>
      </c>
      <c r="I81" s="1208">
        <v>2.35</v>
      </c>
      <c r="J81" s="1208">
        <v>4.01</v>
      </c>
      <c r="K81" s="1208">
        <v>4.42</v>
      </c>
      <c r="L81" s="1208">
        <v>2.67</v>
      </c>
      <c r="M81" s="1208">
        <v>4.79</v>
      </c>
      <c r="N81" s="1208">
        <v>5.34</v>
      </c>
      <c r="O81" s="1208">
        <v>2.58</v>
      </c>
      <c r="P81" s="1208">
        <v>3.59</v>
      </c>
      <c r="Q81" s="1208">
        <v>3.96</v>
      </c>
    </row>
    <row r="82" spans="3:17">
      <c r="C82" s="1004" t="s">
        <v>35</v>
      </c>
      <c r="D82" s="1001"/>
      <c r="E82" s="978" t="s">
        <v>34</v>
      </c>
      <c r="F82" s="977" t="s">
        <v>35</v>
      </c>
      <c r="H82" s="977">
        <v>313</v>
      </c>
      <c r="I82" s="1208">
        <v>3.24</v>
      </c>
      <c r="J82" s="1208">
        <v>4.62</v>
      </c>
      <c r="K82" s="1208">
        <v>5.45</v>
      </c>
      <c r="L82" s="1208">
        <v>3.57</v>
      </c>
      <c r="M82" s="1208">
        <v>5.4</v>
      </c>
      <c r="N82" s="1208">
        <v>6.38</v>
      </c>
      <c r="O82" s="1208">
        <v>2.6500000000000004</v>
      </c>
      <c r="P82" s="1208">
        <v>3.66</v>
      </c>
      <c r="Q82" s="1208">
        <v>4.04</v>
      </c>
    </row>
    <row r="83" spans="3:17">
      <c r="C83" s="998"/>
      <c r="D83" s="1002"/>
      <c r="E83" s="979"/>
      <c r="F83" s="977" t="s">
        <v>281</v>
      </c>
      <c r="H83" s="977">
        <v>314</v>
      </c>
      <c r="I83" s="1208">
        <v>3.24</v>
      </c>
      <c r="J83" s="1208">
        <v>4.62</v>
      </c>
      <c r="K83" s="1208">
        <v>5.07</v>
      </c>
      <c r="L83" s="1208">
        <v>3.57</v>
      </c>
      <c r="M83" s="1208">
        <v>5.4</v>
      </c>
      <c r="N83" s="1208">
        <v>5.99</v>
      </c>
      <c r="O83" s="1208">
        <v>2.6500000000000004</v>
      </c>
      <c r="P83" s="1208">
        <v>3.66</v>
      </c>
      <c r="Q83" s="1208">
        <v>4.04</v>
      </c>
    </row>
    <row r="84" spans="3:17">
      <c r="C84" s="998"/>
      <c r="D84" s="1002"/>
      <c r="E84" s="980"/>
      <c r="F84" s="977" t="s">
        <v>36</v>
      </c>
      <c r="H84" s="977">
        <v>315</v>
      </c>
      <c r="I84" s="1208">
        <v>3.24</v>
      </c>
      <c r="J84" s="1208">
        <v>4.34</v>
      </c>
      <c r="K84" s="1208">
        <v>5.07</v>
      </c>
      <c r="L84" s="1208">
        <v>3.57</v>
      </c>
      <c r="M84" s="1208">
        <v>5.1000000000000005</v>
      </c>
      <c r="N84" s="1208">
        <v>5.99</v>
      </c>
      <c r="O84" s="1208">
        <v>2.6500000000000004</v>
      </c>
      <c r="P84" s="1208">
        <v>3.66</v>
      </c>
      <c r="Q84" s="1208">
        <v>4.04</v>
      </c>
    </row>
    <row r="85" spans="3:17">
      <c r="C85" s="998"/>
      <c r="D85" s="1002"/>
      <c r="E85" s="978" t="s">
        <v>280</v>
      </c>
      <c r="F85" s="977" t="s">
        <v>35</v>
      </c>
      <c r="H85" s="977">
        <v>323</v>
      </c>
      <c r="I85" s="1208">
        <v>3.24</v>
      </c>
      <c r="J85" s="1208">
        <v>4.62</v>
      </c>
      <c r="K85" s="1208">
        <v>5.45</v>
      </c>
      <c r="L85" s="1208">
        <v>3.57</v>
      </c>
      <c r="M85" s="1208">
        <v>5.4</v>
      </c>
      <c r="N85" s="1208">
        <v>6.38</v>
      </c>
      <c r="O85" s="1208">
        <v>2.6500000000000004</v>
      </c>
      <c r="P85" s="1208">
        <v>3.66</v>
      </c>
      <c r="Q85" s="1208">
        <v>4.04</v>
      </c>
    </row>
    <row r="86" spans="3:17">
      <c r="C86" s="998"/>
      <c r="D86" s="1002"/>
      <c r="E86" s="979"/>
      <c r="F86" s="977" t="s">
        <v>281</v>
      </c>
      <c r="H86" s="977">
        <v>324</v>
      </c>
      <c r="I86" s="1208">
        <v>2.79</v>
      </c>
      <c r="J86" s="1208">
        <v>4.18</v>
      </c>
      <c r="K86" s="1208">
        <v>4.6300000000000008</v>
      </c>
      <c r="L86" s="1208">
        <v>3.11</v>
      </c>
      <c r="M86" s="1208">
        <v>4.9399999999999995</v>
      </c>
      <c r="N86" s="1208">
        <v>5.53</v>
      </c>
      <c r="O86" s="1208">
        <v>2.6100000000000003</v>
      </c>
      <c r="P86" s="1208">
        <v>3.62</v>
      </c>
      <c r="Q86" s="1208">
        <v>4.01</v>
      </c>
    </row>
    <row r="87" spans="3:17">
      <c r="C87" s="998"/>
      <c r="D87" s="1002"/>
      <c r="E87" s="980"/>
      <c r="F87" s="977" t="s">
        <v>36</v>
      </c>
      <c r="H87" s="977">
        <v>325</v>
      </c>
      <c r="I87" s="1208">
        <v>2.35</v>
      </c>
      <c r="J87" s="1208">
        <v>3.89</v>
      </c>
      <c r="K87" s="1208">
        <v>4.4799999999999995</v>
      </c>
      <c r="L87" s="1208">
        <v>2.67</v>
      </c>
      <c r="M87" s="1208">
        <v>4.6499999999999995</v>
      </c>
      <c r="N87" s="1208">
        <v>5.39</v>
      </c>
      <c r="O87" s="1208">
        <v>2.58</v>
      </c>
      <c r="P87" s="1208">
        <v>3.62</v>
      </c>
      <c r="Q87" s="1208">
        <v>4</v>
      </c>
    </row>
    <row r="88" spans="3:17">
      <c r="C88" s="998"/>
      <c r="D88" s="1002"/>
      <c r="E88" s="978" t="s">
        <v>35</v>
      </c>
      <c r="F88" s="977" t="s">
        <v>35</v>
      </c>
      <c r="H88" s="977">
        <v>333</v>
      </c>
      <c r="I88" s="1209">
        <v>2.35</v>
      </c>
      <c r="J88" s="1208">
        <v>3.95</v>
      </c>
      <c r="K88" s="1208">
        <v>4.8600000000000003</v>
      </c>
      <c r="L88" s="1209">
        <v>2.67</v>
      </c>
      <c r="M88" s="1208">
        <v>4.7299999999999995</v>
      </c>
      <c r="N88" s="1208">
        <v>5.79</v>
      </c>
      <c r="O88" s="1209">
        <v>2.58</v>
      </c>
      <c r="P88" s="1208">
        <v>3.61</v>
      </c>
      <c r="Q88" s="1208">
        <v>4</v>
      </c>
    </row>
    <row r="89" spans="3:17">
      <c r="C89" s="998"/>
      <c r="D89" s="1002"/>
      <c r="E89" s="979"/>
      <c r="F89" s="977" t="s">
        <v>281</v>
      </c>
      <c r="H89" s="977">
        <v>334</v>
      </c>
      <c r="I89" s="1208">
        <v>2.35</v>
      </c>
      <c r="J89" s="1208">
        <v>3.95</v>
      </c>
      <c r="K89" s="1208">
        <v>4.1800000000000006</v>
      </c>
      <c r="L89" s="1208">
        <v>2.67</v>
      </c>
      <c r="M89" s="1208">
        <v>4.7299999999999995</v>
      </c>
      <c r="N89" s="1208">
        <v>5.08</v>
      </c>
      <c r="O89" s="1208">
        <v>2.58</v>
      </c>
      <c r="P89" s="1208">
        <v>3.61</v>
      </c>
      <c r="Q89" s="1208">
        <v>3.9699999999999998</v>
      </c>
    </row>
    <row r="90" spans="3:17">
      <c r="C90" s="998"/>
      <c r="D90" s="1002"/>
      <c r="E90" s="980"/>
      <c r="F90" s="977" t="s">
        <v>36</v>
      </c>
      <c r="H90" s="977">
        <v>335</v>
      </c>
      <c r="I90" s="1208">
        <v>2.35</v>
      </c>
      <c r="J90" s="1208">
        <v>3.45</v>
      </c>
      <c r="K90" s="1208">
        <v>4.1800000000000006</v>
      </c>
      <c r="L90" s="1208">
        <v>2.67</v>
      </c>
      <c r="M90" s="1208">
        <v>4.2</v>
      </c>
      <c r="N90" s="1208">
        <v>5.08</v>
      </c>
      <c r="O90" s="1208">
        <v>2.58</v>
      </c>
      <c r="P90" s="1208">
        <v>3.59</v>
      </c>
      <c r="Q90" s="1208">
        <v>3.9699999999999998</v>
      </c>
    </row>
    <row r="91" spans="3:17">
      <c r="C91" s="998"/>
      <c r="D91" s="1002"/>
      <c r="E91" s="978" t="s">
        <v>281</v>
      </c>
      <c r="F91" s="977" t="s">
        <v>35</v>
      </c>
      <c r="H91" s="977">
        <v>343</v>
      </c>
      <c r="I91" s="1208">
        <v>2.35</v>
      </c>
      <c r="J91" s="1208">
        <v>3.7300000000000004</v>
      </c>
      <c r="K91" s="1208">
        <v>4.5599999999999996</v>
      </c>
      <c r="L91" s="1208">
        <v>2.67</v>
      </c>
      <c r="M91" s="1208">
        <v>4.5</v>
      </c>
      <c r="N91" s="1208">
        <v>5.49</v>
      </c>
      <c r="O91" s="1208">
        <v>2.58</v>
      </c>
      <c r="P91" s="1208">
        <v>3.59</v>
      </c>
      <c r="Q91" s="1208">
        <v>3.9699999999999998</v>
      </c>
    </row>
    <row r="92" spans="3:17">
      <c r="C92" s="998"/>
      <c r="D92" s="1002"/>
      <c r="E92" s="979"/>
      <c r="F92" s="977" t="s">
        <v>281</v>
      </c>
      <c r="H92" s="977">
        <v>344</v>
      </c>
      <c r="I92" s="1208">
        <v>2.35</v>
      </c>
      <c r="J92" s="1208">
        <v>3.7300000000000004</v>
      </c>
      <c r="K92" s="1208">
        <v>4.04</v>
      </c>
      <c r="L92" s="1208">
        <v>2.67</v>
      </c>
      <c r="M92" s="1208">
        <v>4.5</v>
      </c>
      <c r="N92" s="1208">
        <v>4.9400000000000004</v>
      </c>
      <c r="O92" s="1208">
        <v>2.58</v>
      </c>
      <c r="P92" s="1208">
        <v>3.59</v>
      </c>
      <c r="Q92" s="1208">
        <v>3.96</v>
      </c>
    </row>
    <row r="93" spans="3:17">
      <c r="C93" s="999"/>
      <c r="D93" s="1003"/>
      <c r="E93" s="980"/>
      <c r="F93" s="977" t="s">
        <v>36</v>
      </c>
      <c r="H93" s="977">
        <v>345</v>
      </c>
      <c r="I93" s="1208">
        <v>2.35</v>
      </c>
      <c r="J93" s="1208">
        <v>3.45</v>
      </c>
      <c r="K93" s="1208">
        <v>4.04</v>
      </c>
      <c r="L93" s="1208">
        <v>2.67</v>
      </c>
      <c r="M93" s="1208">
        <v>4.2</v>
      </c>
      <c r="N93" s="1208">
        <v>4.9400000000000004</v>
      </c>
      <c r="O93" s="1208">
        <v>2.58</v>
      </c>
      <c r="P93" s="1208">
        <v>3.59</v>
      </c>
      <c r="Q93" s="1208">
        <v>3.96</v>
      </c>
    </row>
    <row r="94" spans="3:17">
      <c r="C94" s="1004" t="s">
        <v>281</v>
      </c>
      <c r="D94" s="1001"/>
      <c r="E94" s="978" t="s">
        <v>34</v>
      </c>
      <c r="F94" s="977" t="s">
        <v>35</v>
      </c>
      <c r="H94" s="977">
        <v>413</v>
      </c>
      <c r="I94" s="1208">
        <v>3.24</v>
      </c>
      <c r="J94" s="1208">
        <v>4.34</v>
      </c>
      <c r="K94" s="1208">
        <v>5.07</v>
      </c>
      <c r="L94" s="1208">
        <v>3.57</v>
      </c>
      <c r="M94" s="1208">
        <v>5.1000000000000005</v>
      </c>
      <c r="N94" s="1208">
        <v>5.99</v>
      </c>
      <c r="O94" s="1208">
        <v>2.6500000000000004</v>
      </c>
      <c r="P94" s="1208">
        <v>3.66</v>
      </c>
      <c r="Q94" s="1208">
        <v>4.04</v>
      </c>
    </row>
    <row r="95" spans="3:17">
      <c r="C95" s="998"/>
      <c r="D95" s="1002"/>
      <c r="E95" s="979"/>
      <c r="F95" s="977" t="s">
        <v>281</v>
      </c>
      <c r="H95" s="977">
        <v>414</v>
      </c>
      <c r="I95" s="1208">
        <v>3.24</v>
      </c>
      <c r="J95" s="1208">
        <v>4.34</v>
      </c>
      <c r="K95" s="1208">
        <v>4.88</v>
      </c>
      <c r="L95" s="1208">
        <v>3.57</v>
      </c>
      <c r="M95" s="1208">
        <v>5.1000000000000005</v>
      </c>
      <c r="N95" s="1208">
        <v>5.79</v>
      </c>
      <c r="O95" s="1208">
        <v>2.6500000000000004</v>
      </c>
      <c r="P95" s="1208">
        <v>3.66</v>
      </c>
      <c r="Q95" s="1208">
        <v>4.04</v>
      </c>
    </row>
    <row r="96" spans="3:17">
      <c r="C96" s="998"/>
      <c r="D96" s="1002"/>
      <c r="E96" s="980"/>
      <c r="F96" s="977" t="s">
        <v>36</v>
      </c>
      <c r="H96" s="977">
        <v>415</v>
      </c>
      <c r="I96" s="1208">
        <v>3.24</v>
      </c>
      <c r="J96" s="1208">
        <v>4.34</v>
      </c>
      <c r="K96" s="1208">
        <v>4.88</v>
      </c>
      <c r="L96" s="1208">
        <v>3.57</v>
      </c>
      <c r="M96" s="1208">
        <v>5.1000000000000005</v>
      </c>
      <c r="N96" s="1208">
        <v>5.79</v>
      </c>
      <c r="O96" s="1208">
        <v>2.6500000000000004</v>
      </c>
      <c r="P96" s="1208">
        <v>3.66</v>
      </c>
      <c r="Q96" s="1208">
        <v>4.04</v>
      </c>
    </row>
    <row r="97" spans="3:21">
      <c r="C97" s="998"/>
      <c r="D97" s="1002"/>
      <c r="E97" s="978" t="s">
        <v>280</v>
      </c>
      <c r="F97" s="977" t="s">
        <v>35</v>
      </c>
      <c r="H97" s="977">
        <v>423</v>
      </c>
      <c r="I97" s="1208">
        <v>3.24</v>
      </c>
      <c r="J97" s="1208">
        <v>4.34</v>
      </c>
      <c r="K97" s="1208">
        <v>5.07</v>
      </c>
      <c r="L97" s="1208">
        <v>3.57</v>
      </c>
      <c r="M97" s="1208">
        <v>5.1000000000000005</v>
      </c>
      <c r="N97" s="1208">
        <v>5.99</v>
      </c>
      <c r="O97" s="1208">
        <v>2.6500000000000004</v>
      </c>
      <c r="P97" s="1208">
        <v>3.66</v>
      </c>
      <c r="Q97" s="1208">
        <v>4.04</v>
      </c>
    </row>
    <row r="98" spans="3:21">
      <c r="C98" s="998"/>
      <c r="D98" s="1002"/>
      <c r="E98" s="979"/>
      <c r="F98" s="977" t="s">
        <v>281</v>
      </c>
      <c r="H98" s="977">
        <v>424</v>
      </c>
      <c r="I98" s="1208">
        <v>2.79</v>
      </c>
      <c r="J98" s="1208">
        <v>3.89</v>
      </c>
      <c r="K98" s="1208">
        <v>4.45</v>
      </c>
      <c r="L98" s="1208">
        <v>3.11</v>
      </c>
      <c r="M98" s="1208">
        <v>4.6499999999999995</v>
      </c>
      <c r="N98" s="1208">
        <v>5.34</v>
      </c>
      <c r="O98" s="1208">
        <v>2.6100000000000003</v>
      </c>
      <c r="P98" s="1208">
        <v>3.62</v>
      </c>
      <c r="Q98" s="1208">
        <v>4.01</v>
      </c>
      <c r="T98" s="1309"/>
      <c r="U98" s="1309"/>
    </row>
    <row r="99" spans="3:21">
      <c r="C99" s="998"/>
      <c r="D99" s="1002"/>
      <c r="E99" s="980"/>
      <c r="F99" s="977" t="s">
        <v>36</v>
      </c>
      <c r="H99" s="977">
        <v>425</v>
      </c>
      <c r="I99" s="1208">
        <v>2.35</v>
      </c>
      <c r="J99" s="1208">
        <v>3.89</v>
      </c>
      <c r="K99" s="1208">
        <v>4.3</v>
      </c>
      <c r="L99" s="1208">
        <v>2.67</v>
      </c>
      <c r="M99" s="1208">
        <v>4.6499999999999995</v>
      </c>
      <c r="N99" s="1208">
        <v>5.18</v>
      </c>
      <c r="O99" s="1208">
        <v>2.58</v>
      </c>
      <c r="P99" s="1208">
        <v>3.62</v>
      </c>
      <c r="Q99" s="1208">
        <v>4</v>
      </c>
      <c r="T99" s="1309"/>
      <c r="U99" s="1309"/>
    </row>
    <row r="100" spans="3:21">
      <c r="C100" s="998"/>
      <c r="D100" s="1002"/>
      <c r="E100" s="978" t="s">
        <v>35</v>
      </c>
      <c r="F100" s="977" t="s">
        <v>35</v>
      </c>
      <c r="H100" s="977">
        <v>433</v>
      </c>
      <c r="I100" s="1208">
        <v>2.35</v>
      </c>
      <c r="J100" s="1208">
        <v>3.67</v>
      </c>
      <c r="K100" s="1208">
        <v>4.4799999999999995</v>
      </c>
      <c r="L100" s="1208">
        <v>2.67</v>
      </c>
      <c r="M100" s="1208">
        <v>4.42</v>
      </c>
      <c r="N100" s="1208">
        <v>5.39</v>
      </c>
      <c r="O100" s="1208">
        <v>2.58</v>
      </c>
      <c r="P100" s="1208">
        <v>3.61</v>
      </c>
      <c r="Q100" s="1208">
        <v>4</v>
      </c>
      <c r="T100" s="1309"/>
      <c r="U100" s="1309"/>
    </row>
    <row r="101" spans="3:21">
      <c r="C101" s="998"/>
      <c r="D101" s="1002"/>
      <c r="E101" s="979"/>
      <c r="F101" s="977" t="s">
        <v>281</v>
      </c>
      <c r="H101" s="977">
        <v>434</v>
      </c>
      <c r="I101" s="1208">
        <v>2.35</v>
      </c>
      <c r="J101" s="1208">
        <v>3.67</v>
      </c>
      <c r="K101" s="1208">
        <v>4</v>
      </c>
      <c r="L101" s="1208">
        <v>2.67</v>
      </c>
      <c r="M101" s="1208">
        <v>4.42</v>
      </c>
      <c r="N101" s="1208">
        <v>4.8900000000000006</v>
      </c>
      <c r="O101" s="1208">
        <v>2.58</v>
      </c>
      <c r="P101" s="1208">
        <v>3.61</v>
      </c>
      <c r="Q101" s="1208">
        <v>3.9699999999999998</v>
      </c>
      <c r="T101" s="1309"/>
      <c r="U101" s="1309"/>
    </row>
    <row r="102" spans="3:21">
      <c r="C102" s="998"/>
      <c r="D102" s="1002"/>
      <c r="E102" s="980"/>
      <c r="F102" s="977" t="s">
        <v>36</v>
      </c>
      <c r="H102" s="977">
        <v>435</v>
      </c>
      <c r="I102" s="1208">
        <v>2.35</v>
      </c>
      <c r="J102" s="1208">
        <v>3.45</v>
      </c>
      <c r="K102" s="1208">
        <v>4</v>
      </c>
      <c r="L102" s="1208">
        <v>2.67</v>
      </c>
      <c r="M102" s="1208">
        <v>4.2</v>
      </c>
      <c r="N102" s="1208">
        <v>4.8900000000000006</v>
      </c>
      <c r="O102" s="1208">
        <v>2.58</v>
      </c>
      <c r="P102" s="1208">
        <v>3.59</v>
      </c>
      <c r="Q102" s="1208">
        <v>3.9699999999999998</v>
      </c>
      <c r="T102" s="1309"/>
      <c r="U102" s="1309"/>
    </row>
    <row r="103" spans="3:21">
      <c r="C103" s="998"/>
      <c r="D103" s="1002"/>
      <c r="E103" s="978" t="s">
        <v>281</v>
      </c>
      <c r="F103" s="977" t="s">
        <v>35</v>
      </c>
      <c r="H103" s="977">
        <v>443</v>
      </c>
      <c r="I103" s="1208">
        <v>2.35</v>
      </c>
      <c r="J103" s="1208">
        <v>3.45</v>
      </c>
      <c r="K103" s="1208">
        <v>4.1800000000000006</v>
      </c>
      <c r="L103" s="1208">
        <v>2.67</v>
      </c>
      <c r="M103" s="1208">
        <v>4.2</v>
      </c>
      <c r="N103" s="1208">
        <v>5.08</v>
      </c>
      <c r="O103" s="1208">
        <v>2.58</v>
      </c>
      <c r="P103" s="1208">
        <v>3.59</v>
      </c>
      <c r="Q103" s="1208">
        <v>3.9699999999999998</v>
      </c>
      <c r="T103" s="1309"/>
      <c r="U103" s="1309"/>
    </row>
    <row r="104" spans="3:21">
      <c r="C104" s="998"/>
      <c r="D104" s="1002"/>
      <c r="E104" s="979"/>
      <c r="F104" s="977" t="s">
        <v>281</v>
      </c>
      <c r="H104" s="977">
        <v>444</v>
      </c>
      <c r="I104" s="1208">
        <v>2.35</v>
      </c>
      <c r="J104" s="1208">
        <v>3.45</v>
      </c>
      <c r="K104" s="1208">
        <v>3.85</v>
      </c>
      <c r="L104" s="1208">
        <v>2.67</v>
      </c>
      <c r="M104" s="1208">
        <v>4.2</v>
      </c>
      <c r="N104" s="1208">
        <v>4.7300000000000004</v>
      </c>
      <c r="O104" s="1208">
        <v>2.58</v>
      </c>
      <c r="P104" s="1208">
        <v>3.59</v>
      </c>
      <c r="Q104" s="1208">
        <v>3.96</v>
      </c>
      <c r="T104" s="1309"/>
      <c r="U104" s="1309"/>
    </row>
    <row r="105" spans="3:21">
      <c r="C105" s="999"/>
      <c r="D105" s="1003"/>
      <c r="E105" s="980"/>
      <c r="F105" s="977" t="s">
        <v>36</v>
      </c>
      <c r="H105" s="977">
        <v>445</v>
      </c>
      <c r="I105" s="1208">
        <v>2.35</v>
      </c>
      <c r="J105" s="1208">
        <v>3.45</v>
      </c>
      <c r="K105" s="1208">
        <v>3.85</v>
      </c>
      <c r="L105" s="1208">
        <v>2.67</v>
      </c>
      <c r="M105" s="1208">
        <v>4.2</v>
      </c>
      <c r="N105" s="1208">
        <v>4.7300000000000004</v>
      </c>
      <c r="O105" s="1208">
        <v>2.58</v>
      </c>
      <c r="P105" s="1208">
        <v>3.59</v>
      </c>
      <c r="Q105" s="1208">
        <v>3.96</v>
      </c>
      <c r="T105" s="1309"/>
      <c r="U105" s="1309"/>
    </row>
    <row r="106" spans="3:21">
      <c r="T106" s="1309"/>
      <c r="U106" s="1309"/>
    </row>
    <row r="107" spans="3:21" hidden="1">
      <c r="C107" s="1686" t="s">
        <v>856</v>
      </c>
      <c r="E107" s="1685"/>
      <c r="F107" s="1685"/>
      <c r="H107" s="1685"/>
      <c r="I107" s="1685"/>
      <c r="T107" s="1309"/>
      <c r="U107" s="1309"/>
    </row>
    <row r="108" spans="3:21" hidden="1">
      <c r="C108" s="1685"/>
      <c r="D108" s="1687" t="s">
        <v>850</v>
      </c>
      <c r="E108" s="1688"/>
      <c r="F108" s="1689">
        <v>10.99</v>
      </c>
      <c r="H108" s="1689" t="s">
        <v>851</v>
      </c>
      <c r="I108" s="1689" t="s">
        <v>852</v>
      </c>
      <c r="K108" s="1333" t="s">
        <v>910</v>
      </c>
      <c r="L108" s="991">
        <v>20</v>
      </c>
      <c r="M108" s="1333" t="s">
        <v>911</v>
      </c>
      <c r="T108" s="1309"/>
      <c r="U108" s="1309"/>
    </row>
    <row r="109" spans="3:21" hidden="1">
      <c r="C109" s="1685"/>
      <c r="D109" s="1687" t="s">
        <v>853</v>
      </c>
      <c r="E109" s="1688"/>
      <c r="F109" s="1689">
        <v>5.09</v>
      </c>
      <c r="H109" s="1689" t="s">
        <v>852</v>
      </c>
      <c r="I109" s="1689" t="s">
        <v>852</v>
      </c>
      <c r="T109" s="1309"/>
      <c r="U109" s="1309"/>
    </row>
    <row r="110" spans="3:21" hidden="1">
      <c r="C110" s="1685"/>
      <c r="D110" s="1687" t="s">
        <v>854</v>
      </c>
      <c r="E110" s="1688"/>
      <c r="F110" s="1689">
        <v>5.09</v>
      </c>
      <c r="H110" s="1689" t="s">
        <v>852</v>
      </c>
      <c r="I110" s="1689" t="s">
        <v>852</v>
      </c>
      <c r="T110" s="1309"/>
      <c r="U110" s="1309"/>
    </row>
    <row r="111" spans="3:21" hidden="1">
      <c r="C111" s="1685"/>
      <c r="D111" s="1687" t="s">
        <v>855</v>
      </c>
      <c r="E111" s="1688"/>
      <c r="F111" s="1689">
        <v>5.09</v>
      </c>
      <c r="H111" s="1689" t="s">
        <v>852</v>
      </c>
      <c r="I111" s="1689" t="s">
        <v>852</v>
      </c>
      <c r="T111" s="1309"/>
      <c r="U111" s="1309"/>
    </row>
    <row r="112" spans="3:21" hidden="1">
      <c r="T112" s="1309"/>
      <c r="U112" s="1309"/>
    </row>
    <row r="113" spans="3:20" ht="16.5">
      <c r="C113" s="982" t="s">
        <v>928</v>
      </c>
      <c r="T113" s="1333"/>
    </row>
    <row r="114" spans="3:20" customFormat="1">
      <c r="C114" s="965" t="s">
        <v>690</v>
      </c>
      <c r="D114" s="993"/>
      <c r="E114" s="993" t="s">
        <v>930</v>
      </c>
      <c r="F114" s="988" t="s">
        <v>595</v>
      </c>
      <c r="G114" s="972"/>
      <c r="H114" s="993"/>
      <c r="I114" s="993"/>
      <c r="J114" s="1666" t="e">
        <f>電気排出係数!D5*1000</f>
        <v>#VALUE!</v>
      </c>
      <c r="K114" s="1669">
        <f>電気排出係数!B5</f>
        <v>0</v>
      </c>
      <c r="L114" s="1673"/>
      <c r="M114" s="1673"/>
      <c r="N114" s="1673" t="s">
        <v>614</v>
      </c>
      <c r="O114" s="1673"/>
      <c r="P114" s="1673" t="e">
        <f>電気排出係数!E5*1000</f>
        <v>#N/A</v>
      </c>
      <c r="Q114" s="1784" t="s">
        <v>615</v>
      </c>
      <c r="R114" s="972"/>
    </row>
    <row r="115" spans="3:20" customFormat="1">
      <c r="C115" s="983"/>
      <c r="D115" s="1296"/>
      <c r="E115" s="993"/>
      <c r="F115" s="988" t="s">
        <v>596</v>
      </c>
      <c r="G115" s="972"/>
      <c r="H115" s="993"/>
      <c r="I115" s="993"/>
      <c r="J115" s="1666" t="e">
        <f>J114/K115</f>
        <v>#VALUE!</v>
      </c>
      <c r="K115" s="1670">
        <v>9.76</v>
      </c>
      <c r="L115" s="1295" t="s">
        <v>613</v>
      </c>
      <c r="M115" s="993"/>
      <c r="N115" s="993"/>
      <c r="O115" s="993"/>
      <c r="P115" s="993"/>
      <c r="Q115" s="1675"/>
      <c r="R115" s="972"/>
    </row>
    <row r="116" spans="3:20" customFormat="1">
      <c r="C116" s="983"/>
      <c r="D116" s="1296"/>
      <c r="E116" s="993" t="s">
        <v>600</v>
      </c>
      <c r="F116" s="988" t="s">
        <v>596</v>
      </c>
      <c r="G116" s="972"/>
      <c r="H116" s="993"/>
      <c r="I116" s="993"/>
      <c r="J116" s="1666">
        <v>4.9799999999999997E-2</v>
      </c>
      <c r="K116" s="1670"/>
      <c r="L116" s="993"/>
      <c r="M116" s="993"/>
      <c r="N116" s="993"/>
      <c r="O116" s="993"/>
      <c r="P116" s="993"/>
      <c r="Q116" s="1675"/>
      <c r="R116" s="972"/>
    </row>
    <row r="117" spans="3:20" customFormat="1">
      <c r="C117" s="983"/>
      <c r="D117" s="1296"/>
      <c r="E117" s="993" t="s">
        <v>597</v>
      </c>
      <c r="F117" s="988" t="s">
        <v>596</v>
      </c>
      <c r="G117" s="972"/>
      <c r="H117" s="993"/>
      <c r="I117" s="993"/>
      <c r="J117" s="1666">
        <v>5.7000000000000002E-2</v>
      </c>
      <c r="K117" s="1670"/>
      <c r="L117" s="993"/>
      <c r="M117" s="993"/>
      <c r="N117" s="993"/>
      <c r="O117" s="993"/>
      <c r="P117" s="993"/>
      <c r="Q117" s="1675"/>
      <c r="R117" s="972"/>
    </row>
    <row r="118" spans="3:20" customFormat="1">
      <c r="C118" s="983"/>
      <c r="D118" s="1296"/>
      <c r="E118" s="993" t="s">
        <v>601</v>
      </c>
      <c r="F118" s="988" t="s">
        <v>596</v>
      </c>
      <c r="G118" s="972"/>
      <c r="H118" s="993"/>
      <c r="I118" s="993"/>
      <c r="J118" s="1666">
        <v>6.7799999999999999E-2</v>
      </c>
      <c r="K118" s="1670"/>
      <c r="L118" s="993"/>
      <c r="M118" s="993"/>
      <c r="N118" s="993"/>
      <c r="O118" s="993"/>
      <c r="P118" s="993"/>
      <c r="Q118" s="1675"/>
      <c r="R118" s="972"/>
    </row>
    <row r="119" spans="3:20" customFormat="1">
      <c r="C119" s="983"/>
      <c r="D119" s="1296"/>
      <c r="E119" s="993" t="s">
        <v>598</v>
      </c>
      <c r="F119" s="988" t="s">
        <v>596</v>
      </c>
      <c r="G119" s="972"/>
      <c r="H119" s="993"/>
      <c r="I119" s="993"/>
      <c r="J119" s="1666">
        <v>6.93E-2</v>
      </c>
      <c r="K119" s="1670"/>
      <c r="L119" s="993"/>
      <c r="M119" s="993"/>
      <c r="N119" s="993"/>
      <c r="O119" s="993"/>
      <c r="P119" s="993"/>
      <c r="Q119" s="1675"/>
      <c r="R119" s="972"/>
    </row>
    <row r="120" spans="3:20" customFormat="1">
      <c r="C120" s="983"/>
      <c r="D120" s="1296"/>
      <c r="E120" s="993" t="s">
        <v>602</v>
      </c>
      <c r="F120" s="988" t="s">
        <v>596</v>
      </c>
      <c r="G120" s="972"/>
      <c r="H120" s="993"/>
      <c r="I120" s="993"/>
      <c r="J120" s="1666">
        <v>6.855E-2</v>
      </c>
      <c r="K120" s="1710" t="s">
        <v>611</v>
      </c>
      <c r="L120" s="993"/>
      <c r="M120" s="993"/>
      <c r="N120" s="993"/>
      <c r="O120" s="993"/>
      <c r="P120" s="993"/>
      <c r="Q120" s="1675"/>
      <c r="R120" s="972"/>
    </row>
    <row r="121" spans="3:20" customFormat="1">
      <c r="C121" s="983"/>
      <c r="D121" s="1296"/>
      <c r="E121" s="993" t="s">
        <v>603</v>
      </c>
      <c r="F121" s="988" t="s">
        <v>609</v>
      </c>
      <c r="G121" s="972"/>
      <c r="H121" s="993"/>
      <c r="I121" s="993"/>
      <c r="J121" s="1666">
        <v>5.8999999999999997E-2</v>
      </c>
      <c r="K121" s="1671"/>
      <c r="L121" s="1674"/>
      <c r="M121" s="1674"/>
      <c r="N121" s="1674"/>
      <c r="O121" s="1674"/>
      <c r="P121" s="1674"/>
      <c r="Q121" s="1676"/>
      <c r="R121" s="972"/>
    </row>
    <row r="122" spans="3:20" customFormat="1">
      <c r="C122" s="983"/>
      <c r="D122" s="1296"/>
      <c r="E122" s="993"/>
      <c r="F122" s="993"/>
      <c r="G122" s="972"/>
      <c r="H122" s="993"/>
      <c r="I122" s="993"/>
      <c r="J122" s="1667"/>
      <c r="K122" s="1295"/>
      <c r="L122" s="993"/>
      <c r="M122" s="993"/>
      <c r="N122" s="993"/>
      <c r="O122" s="993"/>
      <c r="P122" s="993"/>
      <c r="Q122" s="993"/>
      <c r="R122" s="972"/>
    </row>
    <row r="123" spans="3:20" customFormat="1">
      <c r="C123" s="983"/>
      <c r="D123" s="983" t="s">
        <v>599</v>
      </c>
      <c r="E123" s="993"/>
      <c r="F123" s="993"/>
      <c r="G123" s="972"/>
      <c r="H123" s="993"/>
      <c r="I123" s="993"/>
      <c r="J123" s="1668" t="s">
        <v>610</v>
      </c>
      <c r="K123" s="1672" t="s">
        <v>612</v>
      </c>
      <c r="L123" s="993"/>
      <c r="M123" s="993"/>
      <c r="N123" s="993"/>
      <c r="O123" s="993"/>
      <c r="P123" s="993"/>
      <c r="Q123" s="993"/>
      <c r="R123" s="972"/>
    </row>
    <row r="124" spans="3:20" customFormat="1">
      <c r="C124" s="983"/>
      <c r="D124" s="1296"/>
      <c r="E124" s="993" t="s">
        <v>604</v>
      </c>
      <c r="F124" s="993"/>
      <c r="G124" s="972"/>
      <c r="H124" s="993"/>
      <c r="I124" s="993"/>
      <c r="J124" s="1783">
        <v>0.50600000000000001</v>
      </c>
      <c r="K124" s="1666" t="e">
        <f>J115*J124</f>
        <v>#VALUE!</v>
      </c>
      <c r="L124" s="993"/>
      <c r="M124" s="993"/>
      <c r="N124" s="993"/>
      <c r="O124" s="993"/>
      <c r="P124" s="993"/>
      <c r="Q124" s="993"/>
      <c r="R124" s="972"/>
    </row>
    <row r="125" spans="3:20" customFormat="1" ht="13.5" customHeight="1">
      <c r="C125" s="983"/>
      <c r="D125" s="1296"/>
      <c r="E125" s="993" t="s">
        <v>605</v>
      </c>
      <c r="F125" s="993"/>
      <c r="G125" s="972"/>
      <c r="H125" s="993"/>
      <c r="I125" s="993"/>
      <c r="J125" s="1783">
        <v>0.20699999999999999</v>
      </c>
      <c r="K125" s="1666">
        <f t="shared" ref="K125:K130" si="0">J116*J125</f>
        <v>1.0308599999999999E-2</v>
      </c>
      <c r="L125" s="993"/>
      <c r="M125" s="993"/>
      <c r="N125" s="993"/>
      <c r="O125" s="993"/>
      <c r="P125" s="993"/>
      <c r="Q125" s="993"/>
      <c r="R125" s="972"/>
    </row>
    <row r="126" spans="3:20" customFormat="1">
      <c r="C126" s="983"/>
      <c r="D126" s="1296"/>
      <c r="E126" s="993" t="s">
        <v>606</v>
      </c>
      <c r="F126" s="993"/>
      <c r="G126" s="972"/>
      <c r="H126" s="993"/>
      <c r="I126" s="993"/>
      <c r="J126" s="1783">
        <v>0</v>
      </c>
      <c r="K126" s="1666">
        <f t="shared" si="0"/>
        <v>0</v>
      </c>
      <c r="L126" s="993"/>
      <c r="M126" s="993"/>
      <c r="N126" s="993"/>
      <c r="O126" s="993"/>
      <c r="P126" s="993"/>
      <c r="Q126" s="993"/>
      <c r="R126" s="993"/>
    </row>
    <row r="127" spans="3:20" customFormat="1">
      <c r="C127" s="983"/>
      <c r="D127" s="1296"/>
      <c r="E127" s="993" t="s">
        <v>607</v>
      </c>
      <c r="F127" s="993"/>
      <c r="G127" s="972"/>
      <c r="H127" s="993"/>
      <c r="I127" s="993"/>
      <c r="J127" s="1783">
        <v>0.182</v>
      </c>
      <c r="K127" s="1666">
        <f t="shared" si="0"/>
        <v>1.2339599999999999E-2</v>
      </c>
      <c r="L127" s="993"/>
      <c r="M127" s="993"/>
      <c r="N127" s="993"/>
      <c r="O127" s="993"/>
      <c r="P127" s="993"/>
      <c r="Q127" s="993"/>
      <c r="R127" s="993"/>
    </row>
    <row r="128" spans="3:20" customFormat="1">
      <c r="C128" s="983"/>
      <c r="D128" s="1296"/>
      <c r="E128" s="993" t="s">
        <v>608</v>
      </c>
      <c r="F128" s="993"/>
      <c r="G128" s="972"/>
      <c r="H128" s="993"/>
      <c r="I128" s="993"/>
      <c r="J128" s="1783">
        <v>0</v>
      </c>
      <c r="K128" s="1666">
        <f t="shared" si="0"/>
        <v>0</v>
      </c>
      <c r="L128" s="993"/>
      <c r="M128" s="993"/>
      <c r="N128" s="993"/>
      <c r="O128" s="993"/>
      <c r="P128" s="993"/>
      <c r="Q128" s="993"/>
      <c r="R128" s="993"/>
    </row>
    <row r="129" spans="3:27" customFormat="1">
      <c r="C129" s="983"/>
      <c r="D129" s="1296"/>
      <c r="E129" s="1665" t="s">
        <v>829</v>
      </c>
      <c r="G129" s="972"/>
      <c r="J129" s="1783">
        <v>0</v>
      </c>
      <c r="K129" s="1666">
        <f t="shared" si="0"/>
        <v>0</v>
      </c>
      <c r="L129" s="993"/>
      <c r="M129" s="993"/>
      <c r="N129" s="993"/>
      <c r="O129" s="993"/>
      <c r="P129" s="993"/>
      <c r="Q129" s="993"/>
      <c r="R129" s="993"/>
    </row>
    <row r="130" spans="3:27" customFormat="1">
      <c r="C130" s="983"/>
      <c r="D130" s="1296"/>
      <c r="E130" s="993" t="s">
        <v>603</v>
      </c>
      <c r="F130" s="993"/>
      <c r="G130" s="972"/>
      <c r="H130" s="993"/>
      <c r="I130" s="993"/>
      <c r="J130" s="1783">
        <v>9.7000000000000003E-2</v>
      </c>
      <c r="K130" s="1666">
        <f t="shared" si="0"/>
        <v>5.7229999999999998E-3</v>
      </c>
      <c r="L130" s="993"/>
      <c r="M130" s="993"/>
      <c r="N130" s="993"/>
      <c r="O130" s="993"/>
      <c r="P130" s="993"/>
      <c r="Q130" s="993"/>
      <c r="R130" s="993"/>
    </row>
    <row r="131" spans="3:27" customFormat="1">
      <c r="C131" s="983"/>
      <c r="D131" s="1296"/>
      <c r="E131" s="993"/>
      <c r="F131" s="993"/>
      <c r="G131" s="972"/>
      <c r="H131" s="993"/>
      <c r="I131" s="993"/>
      <c r="J131" s="990" t="s">
        <v>56</v>
      </c>
      <c r="K131" s="1666" t="e">
        <f>SUM(K124:K130)</f>
        <v>#VALUE!</v>
      </c>
      <c r="L131" s="993" t="s">
        <v>609</v>
      </c>
      <c r="M131" s="993"/>
      <c r="N131" s="993"/>
      <c r="O131" s="993"/>
      <c r="P131" s="993"/>
      <c r="Q131" s="993"/>
      <c r="R131" s="993"/>
    </row>
    <row r="132" spans="3:27" customFormat="1">
      <c r="G132" s="972"/>
    </row>
    <row r="133" spans="3:27" s="1684" customFormat="1">
      <c r="C133" s="1711"/>
      <c r="D133" s="1764" t="s">
        <v>979</v>
      </c>
      <c r="E133" s="1711"/>
      <c r="F133" s="1711"/>
      <c r="H133" s="1711"/>
      <c r="I133" s="1711"/>
      <c r="J133" s="1711"/>
      <c r="K133" s="1711"/>
      <c r="L133" s="1711"/>
      <c r="M133" s="1711"/>
      <c r="N133" s="1711"/>
      <c r="P133" s="1711"/>
      <c r="Q133" s="1712" t="s">
        <v>867</v>
      </c>
    </row>
    <row r="134" spans="3:27" s="1684" customFormat="1">
      <c r="C134" s="1711"/>
      <c r="D134" s="1713" t="s">
        <v>868</v>
      </c>
      <c r="E134" s="1714"/>
      <c r="F134" s="1715" t="s">
        <v>980</v>
      </c>
      <c r="G134" s="1711"/>
      <c r="H134" s="1715"/>
      <c r="I134" s="1716" t="s">
        <v>869</v>
      </c>
      <c r="J134" s="1713" t="s">
        <v>870</v>
      </c>
      <c r="K134" s="1714"/>
      <c r="L134" s="1714"/>
      <c r="M134" s="1714"/>
      <c r="N134" s="1714"/>
      <c r="O134" s="1714"/>
      <c r="P134" s="1717" t="s">
        <v>871</v>
      </c>
      <c r="Q134" s="1718"/>
      <c r="T134" s="1781" t="s">
        <v>962</v>
      </c>
      <c r="U134" s="1770"/>
      <c r="V134" s="1770"/>
      <c r="W134" s="1770"/>
      <c r="X134" s="1770"/>
      <c r="Y134" s="1770"/>
      <c r="Z134" s="1770"/>
      <c r="AA134" s="1770"/>
    </row>
    <row r="135" spans="3:27" s="1684" customFormat="1">
      <c r="C135" s="1711"/>
      <c r="D135" s="1716" t="s">
        <v>872</v>
      </c>
      <c r="E135" s="1716" t="s">
        <v>873</v>
      </c>
      <c r="F135" s="1719" t="s">
        <v>874</v>
      </c>
      <c r="G135" s="1711"/>
      <c r="H135" s="1725">
        <v>1</v>
      </c>
      <c r="I135" s="1715">
        <f>メイン!C15</f>
        <v>6</v>
      </c>
      <c r="J135" s="1716">
        <v>1</v>
      </c>
      <c r="K135" s="1716">
        <v>2</v>
      </c>
      <c r="L135" s="1716">
        <v>3</v>
      </c>
      <c r="M135" s="1716">
        <v>4</v>
      </c>
      <c r="N135" s="1716">
        <v>5</v>
      </c>
      <c r="O135" s="1716">
        <v>6</v>
      </c>
      <c r="P135" s="1716">
        <v>7</v>
      </c>
      <c r="Q135" s="1716">
        <v>8</v>
      </c>
      <c r="T135" s="1778">
        <v>1</v>
      </c>
      <c r="U135" s="1778">
        <v>2</v>
      </c>
      <c r="V135" s="1778">
        <v>3</v>
      </c>
      <c r="W135" s="1778">
        <v>4</v>
      </c>
      <c r="X135" s="1778">
        <v>5</v>
      </c>
      <c r="Y135" s="1778">
        <v>6</v>
      </c>
      <c r="Z135" s="1778">
        <v>7</v>
      </c>
      <c r="AA135" s="1778">
        <v>8</v>
      </c>
    </row>
    <row r="136" spans="3:27" s="1684" customFormat="1">
      <c r="C136" s="1711"/>
      <c r="D136" s="1719"/>
      <c r="E136" s="1720"/>
      <c r="F136" s="1716" t="s">
        <v>225</v>
      </c>
      <c r="G136" s="1716" t="s">
        <v>875</v>
      </c>
      <c r="H136" s="1716">
        <v>2</v>
      </c>
      <c r="I136" s="1721">
        <f t="shared" ref="I136:I153" si="1">HLOOKUP($I$135,$J$135:$Q$153,H136)</f>
        <v>1100</v>
      </c>
      <c r="J136" s="1721">
        <v>1484</v>
      </c>
      <c r="K136" s="1721">
        <v>1298</v>
      </c>
      <c r="L136" s="1721">
        <v>1189</v>
      </c>
      <c r="M136" s="1721">
        <v>1246</v>
      </c>
      <c r="N136" s="1721">
        <v>1163</v>
      </c>
      <c r="O136" s="1721">
        <v>1100</v>
      </c>
      <c r="P136" s="1721">
        <v>976</v>
      </c>
      <c r="Q136" s="1721">
        <v>888</v>
      </c>
      <c r="T136" s="1779">
        <f t="shared" ref="T136:AA136" si="2">MAX(J136:J153)</f>
        <v>1721</v>
      </c>
      <c r="U136" s="1779">
        <f t="shared" si="2"/>
        <v>1502</v>
      </c>
      <c r="V136" s="1779">
        <f t="shared" si="2"/>
        <v>1413</v>
      </c>
      <c r="W136" s="1779">
        <f t="shared" si="2"/>
        <v>1464</v>
      </c>
      <c r="X136" s="1779">
        <f t="shared" si="2"/>
        <v>1374</v>
      </c>
      <c r="Y136" s="1779">
        <f t="shared" si="2"/>
        <v>1343</v>
      </c>
      <c r="Z136" s="1779">
        <f t="shared" si="2"/>
        <v>1164</v>
      </c>
      <c r="AA136" s="1779">
        <f t="shared" si="2"/>
        <v>1017</v>
      </c>
    </row>
    <row r="137" spans="3:27" s="1684" customFormat="1">
      <c r="C137" s="1711"/>
      <c r="D137" s="1719" t="s">
        <v>861</v>
      </c>
      <c r="E137" s="1711" t="s">
        <v>860</v>
      </c>
      <c r="F137" s="1716" t="s">
        <v>876</v>
      </c>
      <c r="G137" s="1716" t="s">
        <v>877</v>
      </c>
      <c r="H137" s="1716">
        <v>3</v>
      </c>
      <c r="I137" s="1721">
        <f t="shared" si="1"/>
        <v>1268</v>
      </c>
      <c r="J137" s="1721">
        <v>1721</v>
      </c>
      <c r="K137" s="1721">
        <v>1502</v>
      </c>
      <c r="L137" s="1721">
        <v>1373</v>
      </c>
      <c r="M137" s="1721">
        <v>1440</v>
      </c>
      <c r="N137" s="1721">
        <v>1343</v>
      </c>
      <c r="O137" s="1721">
        <v>1268</v>
      </c>
      <c r="P137" s="1721">
        <v>1121</v>
      </c>
      <c r="Q137" s="1721">
        <v>1017</v>
      </c>
      <c r="T137" s="1780">
        <f>J136</f>
        <v>1484</v>
      </c>
      <c r="U137" s="1780">
        <f>K136</f>
        <v>1298</v>
      </c>
      <c r="V137" s="1780">
        <f>L142</f>
        <v>1223</v>
      </c>
      <c r="W137" s="1780">
        <f>M142</f>
        <v>1266</v>
      </c>
      <c r="X137" s="1780">
        <f>N142</f>
        <v>1190</v>
      </c>
      <c r="Y137" s="1780">
        <f>O142</f>
        <v>1163</v>
      </c>
      <c r="Z137" s="1780">
        <f>P142</f>
        <v>1012</v>
      </c>
      <c r="AA137" s="1780">
        <f>Q136</f>
        <v>888</v>
      </c>
    </row>
    <row r="138" spans="3:27" s="1684" customFormat="1">
      <c r="C138" s="1711"/>
      <c r="D138" s="1719"/>
      <c r="E138" s="1711"/>
      <c r="F138" s="1716" t="s">
        <v>878</v>
      </c>
      <c r="G138" s="1716" t="s">
        <v>879</v>
      </c>
      <c r="H138" s="1711">
        <v>4</v>
      </c>
      <c r="I138" s="1721">
        <f t="shared" si="1"/>
        <v>1016</v>
      </c>
      <c r="J138" s="1721">
        <v>1365</v>
      </c>
      <c r="K138" s="1721">
        <v>1196</v>
      </c>
      <c r="L138" s="1721">
        <v>1097</v>
      </c>
      <c r="M138" s="1721">
        <v>1149</v>
      </c>
      <c r="N138" s="1721">
        <v>1074</v>
      </c>
      <c r="O138" s="1721">
        <v>1016</v>
      </c>
      <c r="P138" s="1721">
        <v>903</v>
      </c>
      <c r="Q138" s="1721">
        <v>823</v>
      </c>
    </row>
    <row r="139" spans="3:27" s="1684" customFormat="1">
      <c r="C139" s="1711"/>
      <c r="D139" s="1722"/>
      <c r="E139" s="1715"/>
      <c r="F139" s="1718" t="s">
        <v>225</v>
      </c>
      <c r="G139" s="1716" t="s">
        <v>880</v>
      </c>
      <c r="H139" s="1716">
        <v>5</v>
      </c>
      <c r="I139" s="1721">
        <f t="shared" si="1"/>
        <v>926</v>
      </c>
      <c r="J139" s="1721">
        <v>1466</v>
      </c>
      <c r="K139" s="1721">
        <v>1282</v>
      </c>
      <c r="L139" s="1721">
        <v>1155</v>
      </c>
      <c r="M139" s="1721">
        <v>1179</v>
      </c>
      <c r="N139" s="1721">
        <v>1092</v>
      </c>
      <c r="O139" s="1721">
        <v>926</v>
      </c>
      <c r="P139" s="1721">
        <v>752</v>
      </c>
      <c r="Q139" s="1721">
        <v>556</v>
      </c>
    </row>
    <row r="140" spans="3:27" s="1684" customFormat="1">
      <c r="C140" s="1711"/>
      <c r="D140" s="1723" t="s">
        <v>861</v>
      </c>
      <c r="E140" s="1719" t="s">
        <v>864</v>
      </c>
      <c r="F140" s="1718" t="s">
        <v>876</v>
      </c>
      <c r="G140" s="1716" t="s">
        <v>881</v>
      </c>
      <c r="H140" s="1716">
        <v>6</v>
      </c>
      <c r="I140" s="1721">
        <f t="shared" si="1"/>
        <v>1063</v>
      </c>
      <c r="J140" s="1721">
        <v>1700</v>
      </c>
      <c r="K140" s="1721">
        <v>1483</v>
      </c>
      <c r="L140" s="1721">
        <v>1333</v>
      </c>
      <c r="M140" s="1721">
        <v>1361</v>
      </c>
      <c r="N140" s="1721">
        <v>1258</v>
      </c>
      <c r="O140" s="1721">
        <v>1063</v>
      </c>
      <c r="P140" s="1721">
        <v>857</v>
      </c>
      <c r="Q140" s="1721">
        <v>625</v>
      </c>
    </row>
    <row r="141" spans="3:27" s="1684" customFormat="1">
      <c r="C141" s="1711"/>
      <c r="D141" s="1724"/>
      <c r="E141" s="1725"/>
      <c r="F141" s="1718" t="s">
        <v>878</v>
      </c>
      <c r="G141" s="1716" t="s">
        <v>882</v>
      </c>
      <c r="H141" s="1711">
        <v>7</v>
      </c>
      <c r="I141" s="1721">
        <f t="shared" si="1"/>
        <v>858</v>
      </c>
      <c r="J141" s="1721">
        <v>1348</v>
      </c>
      <c r="K141" s="1721">
        <v>1182</v>
      </c>
      <c r="L141" s="1721">
        <v>1066</v>
      </c>
      <c r="M141" s="1721">
        <v>1088</v>
      </c>
      <c r="N141" s="1721">
        <v>1009</v>
      </c>
      <c r="O141" s="1721">
        <v>858</v>
      </c>
      <c r="P141" s="1721">
        <v>700</v>
      </c>
      <c r="Q141" s="1721">
        <v>521</v>
      </c>
    </row>
    <row r="142" spans="3:27" s="1684" customFormat="1">
      <c r="C142" s="1711"/>
      <c r="D142" s="1715"/>
      <c r="E142" s="1715"/>
      <c r="F142" s="1716" t="s">
        <v>225</v>
      </c>
      <c r="G142" s="1716" t="s">
        <v>883</v>
      </c>
      <c r="H142" s="1716">
        <v>8</v>
      </c>
      <c r="I142" s="1721">
        <f t="shared" si="1"/>
        <v>1163</v>
      </c>
      <c r="J142" s="1721">
        <v>1374</v>
      </c>
      <c r="K142" s="1721">
        <v>1287</v>
      </c>
      <c r="L142" s="1721">
        <v>1223</v>
      </c>
      <c r="M142" s="1721">
        <v>1266</v>
      </c>
      <c r="N142" s="1721">
        <v>1190</v>
      </c>
      <c r="O142" s="1721">
        <v>1163</v>
      </c>
      <c r="P142" s="1721">
        <v>1012</v>
      </c>
      <c r="Q142" s="1721">
        <v>888</v>
      </c>
    </row>
    <row r="143" spans="3:27" s="1684" customFormat="1">
      <c r="C143" s="1711"/>
      <c r="D143" s="1719" t="s">
        <v>863</v>
      </c>
      <c r="E143" s="1719" t="s">
        <v>860</v>
      </c>
      <c r="F143" s="1716" t="s">
        <v>876</v>
      </c>
      <c r="G143" s="1716" t="s">
        <v>884</v>
      </c>
      <c r="H143" s="1716">
        <v>9</v>
      </c>
      <c r="I143" s="1721">
        <f t="shared" si="1"/>
        <v>1343</v>
      </c>
      <c r="J143" s="1721">
        <v>1592</v>
      </c>
      <c r="K143" s="1721">
        <v>1489</v>
      </c>
      <c r="L143" s="1721">
        <v>1413</v>
      </c>
      <c r="M143" s="1721">
        <v>1464</v>
      </c>
      <c r="N143" s="1721">
        <v>1374</v>
      </c>
      <c r="O143" s="1721">
        <v>1343</v>
      </c>
      <c r="P143" s="1721">
        <v>1164</v>
      </c>
      <c r="Q143" s="1721">
        <v>1017</v>
      </c>
    </row>
    <row r="144" spans="3:27" s="1684" customFormat="1">
      <c r="C144" s="1711"/>
      <c r="D144" s="1719"/>
      <c r="E144" s="1719"/>
      <c r="F144" s="1716" t="s">
        <v>878</v>
      </c>
      <c r="G144" s="1716" t="s">
        <v>885</v>
      </c>
      <c r="H144" s="1711">
        <v>10</v>
      </c>
      <c r="I144" s="1721">
        <f t="shared" si="1"/>
        <v>1074</v>
      </c>
      <c r="J144" s="1721">
        <v>1265</v>
      </c>
      <c r="K144" s="1721">
        <v>1186</v>
      </c>
      <c r="L144" s="1721">
        <v>1128</v>
      </c>
      <c r="M144" s="1721">
        <v>1167</v>
      </c>
      <c r="N144" s="1721">
        <v>1098</v>
      </c>
      <c r="O144" s="1721">
        <v>1074</v>
      </c>
      <c r="P144" s="1721">
        <v>936</v>
      </c>
      <c r="Q144" s="1721">
        <v>823</v>
      </c>
    </row>
    <row r="145" spans="3:18" s="1684" customFormat="1">
      <c r="C145" s="1711"/>
      <c r="D145" s="1722"/>
      <c r="E145" s="1715"/>
      <c r="F145" s="1718" t="s">
        <v>225</v>
      </c>
      <c r="G145" s="1716" t="s">
        <v>892</v>
      </c>
      <c r="H145" s="1716">
        <v>11</v>
      </c>
      <c r="I145" s="1721">
        <f t="shared" si="1"/>
        <v>990</v>
      </c>
      <c r="J145" s="1721">
        <v>1356</v>
      </c>
      <c r="K145" s="1721">
        <v>1271</v>
      </c>
      <c r="L145" s="1721">
        <v>1189</v>
      </c>
      <c r="M145" s="1721">
        <v>1199</v>
      </c>
      <c r="N145" s="1721">
        <v>1119</v>
      </c>
      <c r="O145" s="1721">
        <v>990</v>
      </c>
      <c r="P145" s="1721">
        <v>789</v>
      </c>
      <c r="Q145" s="1721">
        <v>556</v>
      </c>
    </row>
    <row r="146" spans="3:18" s="1684" customFormat="1">
      <c r="C146" s="1711"/>
      <c r="D146" s="1723" t="s">
        <v>863</v>
      </c>
      <c r="E146" s="1719" t="s">
        <v>864</v>
      </c>
      <c r="F146" s="1718" t="s">
        <v>876</v>
      </c>
      <c r="G146" s="1716" t="s">
        <v>893</v>
      </c>
      <c r="H146" s="1716">
        <v>12</v>
      </c>
      <c r="I146" s="1721">
        <f t="shared" si="1"/>
        <v>1137</v>
      </c>
      <c r="J146" s="1721">
        <v>1571</v>
      </c>
      <c r="K146" s="1721">
        <v>1470</v>
      </c>
      <c r="L146" s="1721">
        <v>1373</v>
      </c>
      <c r="M146" s="1721">
        <v>1385</v>
      </c>
      <c r="N146" s="1721">
        <v>1290</v>
      </c>
      <c r="O146" s="1721">
        <v>1137</v>
      </c>
      <c r="P146" s="1721">
        <v>900</v>
      </c>
      <c r="Q146" s="1721">
        <v>625</v>
      </c>
    </row>
    <row r="147" spans="3:18" s="1684" customFormat="1">
      <c r="C147" s="1711"/>
      <c r="D147" s="1724"/>
      <c r="E147" s="1725"/>
      <c r="F147" s="1718" t="s">
        <v>878</v>
      </c>
      <c r="G147" s="1716" t="s">
        <v>894</v>
      </c>
      <c r="H147" s="1711">
        <v>13</v>
      </c>
      <c r="I147" s="1721">
        <f t="shared" si="1"/>
        <v>916</v>
      </c>
      <c r="J147" s="1721">
        <v>1249</v>
      </c>
      <c r="K147" s="1721">
        <v>1172</v>
      </c>
      <c r="L147" s="1721">
        <v>1097</v>
      </c>
      <c r="M147" s="1721">
        <v>1106</v>
      </c>
      <c r="N147" s="1721">
        <v>1033</v>
      </c>
      <c r="O147" s="1721">
        <v>916</v>
      </c>
      <c r="P147" s="1721">
        <v>733</v>
      </c>
      <c r="Q147" s="1721">
        <v>521</v>
      </c>
    </row>
    <row r="148" spans="3:18" s="1684" customFormat="1">
      <c r="C148" s="1711"/>
      <c r="D148" s="1715"/>
      <c r="E148" s="1726"/>
      <c r="F148" s="1716" t="s">
        <v>225</v>
      </c>
      <c r="G148" s="1716" t="s">
        <v>886</v>
      </c>
      <c r="H148" s="1716">
        <v>14</v>
      </c>
      <c r="I148" s="1721">
        <f t="shared" si="1"/>
        <v>901</v>
      </c>
      <c r="J148" s="1721">
        <v>1024</v>
      </c>
      <c r="K148" s="1721">
        <v>966</v>
      </c>
      <c r="L148" s="1721">
        <v>916</v>
      </c>
      <c r="M148" s="1721">
        <v>941</v>
      </c>
      <c r="N148" s="1721">
        <v>856</v>
      </c>
      <c r="O148" s="1721">
        <v>901</v>
      </c>
      <c r="P148" s="1721">
        <v>869</v>
      </c>
      <c r="Q148" s="1721">
        <v>888</v>
      </c>
    </row>
    <row r="149" spans="3:18" s="1684" customFormat="1">
      <c r="C149" s="1711"/>
      <c r="D149" s="1719" t="s">
        <v>858</v>
      </c>
      <c r="E149" s="1727" t="s">
        <v>860</v>
      </c>
      <c r="F149" s="1716" t="s">
        <v>876</v>
      </c>
      <c r="G149" s="1716" t="s">
        <v>887</v>
      </c>
      <c r="H149" s="1716">
        <v>15</v>
      </c>
      <c r="I149" s="1721">
        <f t="shared" si="1"/>
        <v>1033</v>
      </c>
      <c r="J149" s="1721">
        <v>1178</v>
      </c>
      <c r="K149" s="1721">
        <v>1110</v>
      </c>
      <c r="L149" s="1721">
        <v>1050</v>
      </c>
      <c r="M149" s="1721">
        <v>1080</v>
      </c>
      <c r="N149" s="1721">
        <v>97</v>
      </c>
      <c r="O149" s="1721">
        <v>1033</v>
      </c>
      <c r="P149" s="1721">
        <v>995</v>
      </c>
      <c r="Q149" s="1721">
        <v>1017</v>
      </c>
    </row>
    <row r="150" spans="3:18" s="1684" customFormat="1">
      <c r="C150" s="1711"/>
      <c r="D150" s="1719"/>
      <c r="E150" s="1727"/>
      <c r="F150" s="1716" t="s">
        <v>878</v>
      </c>
      <c r="G150" s="1716" t="s">
        <v>888</v>
      </c>
      <c r="H150" s="1711">
        <v>16</v>
      </c>
      <c r="I150" s="1721">
        <f t="shared" si="1"/>
        <v>835</v>
      </c>
      <c r="J150" s="1721">
        <v>947</v>
      </c>
      <c r="K150" s="1721">
        <v>894</v>
      </c>
      <c r="L150" s="1721">
        <v>849</v>
      </c>
      <c r="M150" s="1721">
        <v>871</v>
      </c>
      <c r="N150" s="1721">
        <v>794</v>
      </c>
      <c r="O150" s="1721">
        <v>835</v>
      </c>
      <c r="P150" s="1721">
        <v>806</v>
      </c>
      <c r="Q150" s="1721">
        <v>823</v>
      </c>
    </row>
    <row r="151" spans="3:18" s="1684" customFormat="1">
      <c r="C151" s="1711"/>
      <c r="D151" s="1722"/>
      <c r="E151" s="1715"/>
      <c r="F151" s="1718" t="s">
        <v>225</v>
      </c>
      <c r="G151" s="1716" t="s">
        <v>889</v>
      </c>
      <c r="H151" s="1716">
        <v>17</v>
      </c>
      <c r="I151" s="1721">
        <f t="shared" si="1"/>
        <v>727</v>
      </c>
      <c r="J151" s="1721">
        <v>1006</v>
      </c>
      <c r="K151" s="1721">
        <v>950</v>
      </c>
      <c r="L151" s="1721">
        <v>882</v>
      </c>
      <c r="M151" s="1721">
        <v>874</v>
      </c>
      <c r="N151" s="1721">
        <v>784</v>
      </c>
      <c r="O151" s="1721">
        <v>727</v>
      </c>
      <c r="P151" s="1721">
        <v>646</v>
      </c>
      <c r="Q151" s="1721">
        <v>556</v>
      </c>
    </row>
    <row r="152" spans="3:18" s="1684" customFormat="1">
      <c r="C152" s="1711"/>
      <c r="D152" s="1723" t="s">
        <v>858</v>
      </c>
      <c r="E152" s="1719" t="s">
        <v>864</v>
      </c>
      <c r="F152" s="1718" t="s">
        <v>876</v>
      </c>
      <c r="G152" s="1716" t="s">
        <v>890</v>
      </c>
      <c r="H152" s="1716">
        <v>18</v>
      </c>
      <c r="I152" s="1721">
        <f t="shared" si="1"/>
        <v>828</v>
      </c>
      <c r="J152" s="1721">
        <v>1157</v>
      </c>
      <c r="K152" s="1721">
        <v>1091</v>
      </c>
      <c r="L152" s="1721">
        <v>1010</v>
      </c>
      <c r="M152" s="1721">
        <v>1001</v>
      </c>
      <c r="N152" s="1721">
        <v>895</v>
      </c>
      <c r="O152" s="1721">
        <v>828</v>
      </c>
      <c r="P152" s="1721">
        <v>731</v>
      </c>
      <c r="Q152" s="1721">
        <v>625</v>
      </c>
    </row>
    <row r="153" spans="3:18" s="1684" customFormat="1">
      <c r="C153" s="1711"/>
      <c r="D153" s="1724"/>
      <c r="E153" s="1725"/>
      <c r="F153" s="1718" t="s">
        <v>878</v>
      </c>
      <c r="G153" s="1716" t="s">
        <v>891</v>
      </c>
      <c r="H153" s="1716">
        <v>19</v>
      </c>
      <c r="I153" s="1721">
        <f t="shared" si="1"/>
        <v>677</v>
      </c>
      <c r="J153" s="1721">
        <v>931</v>
      </c>
      <c r="K153" s="1721">
        <v>880</v>
      </c>
      <c r="L153" s="1721">
        <v>818</v>
      </c>
      <c r="M153" s="1721">
        <v>811</v>
      </c>
      <c r="N153" s="1721">
        <v>729</v>
      </c>
      <c r="O153" s="1721">
        <v>677</v>
      </c>
      <c r="P153" s="1721">
        <v>603</v>
      </c>
      <c r="Q153" s="1721">
        <v>521</v>
      </c>
    </row>
    <row r="154" spans="3:18" s="1684" customFormat="1" hidden="1">
      <c r="C154" s="1711"/>
      <c r="D154" s="1728" t="str">
        <f>採点LR1!F32</f>
        <v>－</v>
      </c>
      <c r="E154" s="1728" t="str">
        <f>採点LR1!K32</f>
        <v>－</v>
      </c>
      <c r="F154" s="1782" t="str">
        <f>採点LR1!J29</f>
        <v>算定プログラムによる評価</v>
      </c>
      <c r="G154" s="1769" t="str">
        <f>IFERROR(D154&amp;E154&amp;採点LR1!R29,"-")</f>
        <v>-</v>
      </c>
      <c r="H154" s="1769" t="str">
        <f>IFERROR(VLOOKUP(G154,G136:H153,2,0),"-")</f>
        <v>-</v>
      </c>
      <c r="I154" s="1768">
        <f>IF(H154="-",HLOOKUP($I$135,$T$135:$AA$137,2,FALSE),VLOOKUP(H154,$H$136:$I$153,2))</f>
        <v>1343</v>
      </c>
      <c r="J154" s="1711"/>
      <c r="K154" s="1711"/>
      <c r="L154" s="1711"/>
      <c r="M154" s="1711"/>
      <c r="N154" s="1711"/>
      <c r="O154" s="1711"/>
      <c r="P154" s="1711"/>
      <c r="Q154" s="1711"/>
    </row>
    <row r="155" spans="3:18" s="1684" customFormat="1" hidden="1">
      <c r="C155" s="1711"/>
      <c r="D155" s="1711"/>
      <c r="E155" s="1711"/>
      <c r="F155" s="1711"/>
      <c r="G155" s="1711" t="str">
        <f>D154&amp;E154&amp;0</f>
        <v>－－0</v>
      </c>
      <c r="H155" s="1769" t="str">
        <f>IFERROR(VLOOKUP(G155,G136:H153,2,0),"-")</f>
        <v>-</v>
      </c>
      <c r="I155" s="1768">
        <f>IF(H155="-",HLOOKUP($I$135,$T$135:$AA$137,3,FALSE),VLOOKUP(H155,$H$136:$I$153,2))</f>
        <v>1163</v>
      </c>
      <c r="J155" s="1295"/>
      <c r="K155" s="1295"/>
      <c r="L155" s="1295"/>
      <c r="M155" s="1295"/>
      <c r="N155" s="1295"/>
      <c r="O155" s="1295"/>
      <c r="P155" s="1295"/>
      <c r="Q155" s="1711"/>
    </row>
    <row r="156" spans="3:18" s="1684" customFormat="1">
      <c r="C156" s="983"/>
      <c r="D156" s="1296"/>
      <c r="E156" s="993"/>
      <c r="F156" s="993"/>
      <c r="H156" s="993"/>
      <c r="I156" s="993"/>
      <c r="J156" s="1667"/>
      <c r="K156" s="1295"/>
      <c r="L156" s="993"/>
      <c r="M156" s="993"/>
      <c r="N156" s="993"/>
      <c r="O156" s="993"/>
      <c r="P156" s="993"/>
      <c r="Q156" s="993"/>
      <c r="R156" s="993"/>
    </row>
    <row r="157" spans="3:18" ht="15.6" customHeight="1">
      <c r="C157" s="982" t="s">
        <v>929</v>
      </c>
      <c r="D157" s="974"/>
    </row>
    <row r="158" spans="3:18" ht="4.9000000000000004" customHeight="1">
      <c r="C158" s="970"/>
      <c r="F158" s="993"/>
    </row>
    <row r="159" spans="3:18" ht="15.6" customHeight="1">
      <c r="C159" s="970"/>
    </row>
    <row r="160" spans="3:18" ht="15.6" customHeight="1">
      <c r="I160" s="1087" t="s">
        <v>299</v>
      </c>
      <c r="J160" s="1088"/>
      <c r="K160" s="1089"/>
      <c r="L160" s="1087" t="s">
        <v>300</v>
      </c>
      <c r="M160" s="1088"/>
      <c r="N160" s="1089"/>
      <c r="O160" s="1087" t="s">
        <v>301</v>
      </c>
      <c r="P160" s="1088"/>
      <c r="Q160" s="1090"/>
    </row>
    <row r="161" spans="3:17" ht="15.6" customHeight="1">
      <c r="F161" s="1083" t="s">
        <v>698</v>
      </c>
      <c r="H161" s="1100"/>
      <c r="I161" s="1091" t="s">
        <v>35</v>
      </c>
      <c r="J161" s="1091" t="s">
        <v>281</v>
      </c>
      <c r="K161" s="1091" t="s">
        <v>36</v>
      </c>
      <c r="L161" s="1091" t="s">
        <v>35</v>
      </c>
      <c r="M161" s="1091" t="s">
        <v>281</v>
      </c>
      <c r="N161" s="1091" t="s">
        <v>36</v>
      </c>
      <c r="O161" s="1091" t="s">
        <v>35</v>
      </c>
      <c r="P161" s="1091" t="s">
        <v>281</v>
      </c>
      <c r="Q161" s="1091" t="s">
        <v>36</v>
      </c>
    </row>
    <row r="162" spans="3:17" ht="15.6" customHeight="1">
      <c r="C162" s="988" t="s">
        <v>285</v>
      </c>
      <c r="D162" s="988"/>
      <c r="F162" s="991"/>
      <c r="H162" s="969"/>
      <c r="I162" s="989">
        <v>30</v>
      </c>
      <c r="J162" s="989">
        <v>60</v>
      </c>
      <c r="K162" s="989">
        <v>90</v>
      </c>
      <c r="L162" s="989">
        <v>30</v>
      </c>
      <c r="M162" s="989">
        <v>60</v>
      </c>
      <c r="N162" s="989">
        <v>90</v>
      </c>
      <c r="O162" s="989">
        <v>30</v>
      </c>
      <c r="P162" s="989">
        <v>60</v>
      </c>
      <c r="Q162" s="989">
        <v>90</v>
      </c>
    </row>
    <row r="163" spans="3:17" ht="9" customHeight="1">
      <c r="C163" s="990"/>
      <c r="D163" s="990"/>
      <c r="F163" s="1352"/>
      <c r="H163" s="969"/>
      <c r="I163" s="992"/>
      <c r="J163" s="992"/>
      <c r="K163" s="992"/>
      <c r="L163" s="992"/>
      <c r="M163" s="992"/>
      <c r="N163" s="992"/>
      <c r="O163" s="992"/>
      <c r="P163" s="992"/>
      <c r="Q163" s="992"/>
    </row>
    <row r="164" spans="3:17" ht="16.5">
      <c r="D164" s="988"/>
      <c r="H164" s="969"/>
      <c r="I164" s="1247" t="s">
        <v>695</v>
      </c>
      <c r="J164" s="994"/>
      <c r="K164" s="994"/>
      <c r="L164" s="994"/>
      <c r="M164" s="994"/>
      <c r="N164" s="994"/>
      <c r="O164" s="994"/>
      <c r="P164" s="994"/>
      <c r="Q164" s="995"/>
    </row>
    <row r="165" spans="3:17" ht="35.25" customHeight="1">
      <c r="C165" s="1102" t="s">
        <v>286</v>
      </c>
      <c r="D165" s="988"/>
      <c r="F165" s="1101" t="s">
        <v>700</v>
      </c>
      <c r="I165" s="1103" t="s">
        <v>35</v>
      </c>
      <c r="J165" s="1103" t="s">
        <v>281</v>
      </c>
      <c r="K165" s="1103" t="s">
        <v>36</v>
      </c>
      <c r="L165" s="1103" t="s">
        <v>35</v>
      </c>
      <c r="M165" s="1103" t="s">
        <v>281</v>
      </c>
      <c r="N165" s="1103" t="s">
        <v>36</v>
      </c>
      <c r="O165" s="1103" t="s">
        <v>35</v>
      </c>
      <c r="P165" s="1103" t="s">
        <v>281</v>
      </c>
      <c r="Q165" s="1103" t="s">
        <v>36</v>
      </c>
    </row>
    <row r="166" spans="3:17">
      <c r="F166" s="1104">
        <v>1</v>
      </c>
      <c r="H166" s="969"/>
      <c r="I166" s="996">
        <v>11</v>
      </c>
      <c r="J166" s="996">
        <v>11</v>
      </c>
      <c r="K166" s="996">
        <v>11</v>
      </c>
      <c r="L166" s="996">
        <v>11</v>
      </c>
      <c r="M166" s="996">
        <v>11</v>
      </c>
      <c r="N166" s="996">
        <v>11</v>
      </c>
      <c r="O166" s="996">
        <v>11</v>
      </c>
      <c r="P166" s="996">
        <v>11</v>
      </c>
      <c r="Q166" s="996">
        <v>11</v>
      </c>
    </row>
    <row r="167" spans="3:17">
      <c r="D167" s="988"/>
      <c r="F167" s="1104">
        <v>2</v>
      </c>
      <c r="H167" s="969"/>
      <c r="I167" s="996">
        <v>12</v>
      </c>
      <c r="J167" s="996">
        <v>18</v>
      </c>
      <c r="K167" s="996">
        <v>24</v>
      </c>
      <c r="L167" s="996">
        <v>12</v>
      </c>
      <c r="M167" s="996">
        <v>18</v>
      </c>
      <c r="N167" s="996">
        <v>24</v>
      </c>
      <c r="O167" s="996">
        <v>12</v>
      </c>
      <c r="P167" s="996">
        <v>18</v>
      </c>
      <c r="Q167" s="996">
        <v>24</v>
      </c>
    </row>
    <row r="168" spans="3:17">
      <c r="D168" s="988"/>
      <c r="F168" s="1104">
        <v>3</v>
      </c>
      <c r="H168" s="969"/>
      <c r="I168" s="996">
        <v>25</v>
      </c>
      <c r="J168" s="996">
        <v>37</v>
      </c>
      <c r="K168" s="996">
        <v>49</v>
      </c>
      <c r="L168" s="996">
        <v>25</v>
      </c>
      <c r="M168" s="996">
        <v>37</v>
      </c>
      <c r="N168" s="996">
        <v>49</v>
      </c>
      <c r="O168" s="996">
        <v>25</v>
      </c>
      <c r="P168" s="996">
        <v>37</v>
      </c>
      <c r="Q168" s="996">
        <v>49</v>
      </c>
    </row>
    <row r="169" spans="3:17">
      <c r="D169" s="988"/>
      <c r="F169" s="1104">
        <v>4</v>
      </c>
      <c r="H169" s="969"/>
      <c r="I169" s="996">
        <v>50</v>
      </c>
      <c r="J169" s="996">
        <v>75</v>
      </c>
      <c r="K169" s="996">
        <v>100</v>
      </c>
      <c r="L169" s="996">
        <v>50</v>
      </c>
      <c r="M169" s="996">
        <v>75</v>
      </c>
      <c r="N169" s="996">
        <v>100</v>
      </c>
      <c r="O169" s="996">
        <v>50</v>
      </c>
      <c r="P169" s="996">
        <v>75</v>
      </c>
      <c r="Q169" s="996">
        <v>100</v>
      </c>
    </row>
    <row r="170" spans="3:17">
      <c r="D170" s="988"/>
      <c r="F170" s="1104">
        <v>5</v>
      </c>
      <c r="H170" s="969"/>
      <c r="I170" s="996">
        <v>50</v>
      </c>
      <c r="J170" s="996">
        <v>75</v>
      </c>
      <c r="K170" s="996">
        <v>100</v>
      </c>
      <c r="L170" s="996">
        <v>50</v>
      </c>
      <c r="M170" s="996">
        <v>75</v>
      </c>
      <c r="N170" s="996">
        <v>100</v>
      </c>
      <c r="O170" s="996">
        <v>50</v>
      </c>
      <c r="P170" s="996">
        <v>75</v>
      </c>
      <c r="Q170" s="996">
        <v>100</v>
      </c>
    </row>
    <row r="171" spans="3:17" ht="4.9000000000000004" customHeight="1">
      <c r="D171" s="988"/>
      <c r="E171" s="988"/>
      <c r="F171" s="988"/>
      <c r="G171" s="988"/>
      <c r="H171" s="988"/>
      <c r="I171" s="988"/>
      <c r="J171" s="988"/>
      <c r="K171" s="988"/>
      <c r="L171" s="988"/>
      <c r="M171" s="988"/>
      <c r="N171" s="988"/>
      <c r="O171" s="988"/>
      <c r="P171" s="988"/>
      <c r="Q171" s="988"/>
    </row>
    <row r="172" spans="3:17" ht="9" hidden="1" customHeight="1"/>
    <row r="173" spans="3:17" hidden="1"/>
    <row r="174" spans="3:17" hidden="1"/>
    <row r="175" spans="3:17" hidden="1"/>
    <row r="176" spans="3:1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t="13.5" hidden="1" customHeight="1"/>
    <row r="213" ht="13.5" hidden="1" customHeight="1"/>
  </sheetData>
  <sheetProtection password="CC47" sheet="1" objects="1" scenarios="1"/>
  <phoneticPr fontId="4"/>
  <conditionalFormatting sqref="F4 F5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67" fitToHeight="0" orientation="portrait" horizontalDpi="300" verticalDpi="300" r:id="rId1"/>
  <headerFooter alignWithMargins="0">
    <oddHeader>&amp;L&amp;F&amp;R&amp;A</oddHeader>
    <oddFooter>&amp;C&amp;P/&amp;N</oddFooter>
  </headerFooter>
  <rowBreaks count="2" manualBreakCount="2">
    <brk id="54" max="16" man="1"/>
    <brk id="112" max="16" man="1"/>
  </rowBreaks>
  <ignoredErrors>
    <ignoredError sqref="T136:AA136" formulaRange="1"/>
  </ignoredErrors>
</worksheet>
</file>

<file path=xl/worksheets/sheet18.xml><?xml version="1.0" encoding="utf-8"?>
<worksheet xmlns="http://schemas.openxmlformats.org/spreadsheetml/2006/main" xmlns:r="http://schemas.openxmlformats.org/officeDocument/2006/relationships">
  <sheetPr codeName="Sheet17">
    <pageSetUpPr fitToPage="1"/>
  </sheetPr>
  <dimension ref="A1:S38"/>
  <sheetViews>
    <sheetView showGridLines="0" workbookViewId="0">
      <selection activeCell="H1" sqref="H1"/>
    </sheetView>
  </sheetViews>
  <sheetFormatPr defaultColWidth="0" defaultRowHeight="13.5" customHeight="1" zeroHeight="1"/>
  <cols>
    <col min="1" max="1" width="1.125" style="8" customWidth="1"/>
    <col min="2" max="18" width="8.75" style="8" customWidth="1"/>
    <col min="19" max="19" width="1.5" style="8" customWidth="1"/>
    <col min="20" max="16384" width="8.75" style="8" hidden="1"/>
  </cols>
  <sheetData>
    <row r="1" spans="2:18" ht="13.5" customHeight="1">
      <c r="B1" s="55"/>
      <c r="C1" s="55"/>
      <c r="D1" s="55"/>
      <c r="E1" s="55"/>
      <c r="F1" s="55"/>
      <c r="G1" s="55"/>
      <c r="H1" s="55"/>
      <c r="I1" s="55"/>
      <c r="J1" s="55"/>
      <c r="K1" s="55"/>
      <c r="L1" s="55"/>
      <c r="M1" s="55"/>
      <c r="N1" s="55"/>
      <c r="O1" s="55"/>
      <c r="P1" s="55"/>
      <c r="Q1" s="55"/>
      <c r="R1" s="55"/>
    </row>
    <row r="2" spans="2:18" ht="13.5" customHeight="1">
      <c r="B2" s="55"/>
      <c r="C2" s="55"/>
      <c r="D2" s="55"/>
      <c r="E2" s="55"/>
      <c r="F2" s="55"/>
      <c r="G2" s="55"/>
      <c r="H2" s="55"/>
      <c r="I2" s="55"/>
      <c r="J2" s="55"/>
      <c r="K2" s="55"/>
      <c r="L2" s="55"/>
      <c r="M2" s="55"/>
      <c r="N2" s="55"/>
      <c r="O2" s="55"/>
      <c r="P2" s="55"/>
      <c r="Q2" s="55"/>
      <c r="R2" s="55"/>
    </row>
    <row r="3" spans="2:18" ht="13.5" customHeight="1">
      <c r="B3" s="55"/>
      <c r="C3" s="55"/>
      <c r="D3" s="55"/>
      <c r="E3" s="55"/>
      <c r="F3" s="55"/>
      <c r="G3" s="55"/>
      <c r="H3" s="55"/>
      <c r="I3" s="55"/>
      <c r="J3" s="55"/>
      <c r="K3" s="55"/>
      <c r="L3" s="55"/>
      <c r="M3" s="55"/>
      <c r="N3" s="55"/>
      <c r="O3" s="55"/>
      <c r="P3" s="55"/>
      <c r="Q3" s="55"/>
      <c r="R3" s="55"/>
    </row>
    <row r="4" spans="2:18" ht="13.5" customHeight="1">
      <c r="B4" s="55"/>
      <c r="C4" s="55"/>
      <c r="D4" s="55"/>
      <c r="E4" s="55"/>
      <c r="F4" s="55"/>
      <c r="G4" s="55"/>
      <c r="H4" s="55"/>
      <c r="I4" s="55"/>
      <c r="J4" s="55"/>
      <c r="K4" s="55"/>
      <c r="L4" s="55"/>
      <c r="M4" s="55"/>
      <c r="N4" s="55"/>
      <c r="O4" s="55"/>
      <c r="P4" s="55"/>
      <c r="Q4" s="55"/>
      <c r="R4" s="55"/>
    </row>
    <row r="5" spans="2:18" ht="13.5" customHeight="1">
      <c r="B5" s="55"/>
      <c r="C5" s="55"/>
      <c r="D5" s="55"/>
      <c r="E5" s="55"/>
      <c r="F5" s="55"/>
      <c r="G5" s="55"/>
      <c r="H5" s="55"/>
      <c r="I5" s="55"/>
      <c r="J5" s="55"/>
      <c r="K5" s="55"/>
      <c r="L5" s="55"/>
      <c r="M5" s="55"/>
      <c r="N5" s="55"/>
      <c r="O5" s="55"/>
      <c r="P5" s="55"/>
      <c r="Q5" s="55"/>
      <c r="R5" s="55"/>
    </row>
    <row r="6" spans="2:18" ht="13.5" customHeight="1">
      <c r="B6" s="55"/>
      <c r="C6" s="55"/>
      <c r="D6" s="55"/>
      <c r="E6" s="55"/>
      <c r="F6" s="55"/>
      <c r="G6" s="55"/>
      <c r="H6" s="55"/>
      <c r="I6" s="55"/>
      <c r="J6" s="55"/>
      <c r="K6" s="55"/>
      <c r="L6" s="55"/>
      <c r="M6" s="55"/>
      <c r="N6" s="55"/>
      <c r="O6" s="55"/>
      <c r="P6" s="55"/>
      <c r="Q6" s="55"/>
      <c r="R6" s="55"/>
    </row>
    <row r="7" spans="2:18" ht="13.5" customHeight="1">
      <c r="B7" s="55"/>
      <c r="C7" s="55"/>
      <c r="D7" s="55"/>
      <c r="E7" s="55"/>
      <c r="F7" s="55"/>
      <c r="G7" s="55"/>
      <c r="H7" s="55"/>
      <c r="I7" s="55"/>
      <c r="J7" s="55"/>
      <c r="K7" s="55"/>
      <c r="L7" s="55"/>
      <c r="M7" s="55"/>
      <c r="N7" s="55"/>
      <c r="O7" s="55"/>
      <c r="P7" s="55"/>
      <c r="Q7" s="55"/>
      <c r="R7" s="55"/>
    </row>
    <row r="8" spans="2:18" ht="13.5" customHeight="1">
      <c r="B8" s="55"/>
      <c r="C8" s="55"/>
      <c r="D8" s="55"/>
      <c r="E8" s="55"/>
      <c r="F8" s="55"/>
      <c r="G8" s="55"/>
      <c r="H8" s="55"/>
      <c r="I8" s="55"/>
      <c r="J8" s="55"/>
      <c r="K8" s="55"/>
      <c r="L8" s="55"/>
      <c r="M8" s="55"/>
      <c r="N8" s="55"/>
      <c r="O8" s="55"/>
      <c r="P8" s="55"/>
      <c r="Q8" s="55"/>
      <c r="R8" s="55"/>
    </row>
    <row r="9" spans="2:18" ht="13.5" customHeight="1">
      <c r="B9" s="55"/>
      <c r="C9" s="55"/>
      <c r="D9" s="55"/>
      <c r="E9" s="55"/>
      <c r="F9" s="55"/>
      <c r="G9" s="55"/>
      <c r="H9" s="55"/>
      <c r="I9" s="55"/>
      <c r="J9" s="55"/>
      <c r="K9" s="55"/>
      <c r="L9" s="55"/>
      <c r="M9" s="55"/>
      <c r="N9" s="55"/>
      <c r="O9" s="55"/>
      <c r="P9" s="55"/>
      <c r="Q9" s="55"/>
      <c r="R9" s="55"/>
    </row>
    <row r="10" spans="2:18" ht="13.5" customHeight="1">
      <c r="B10" s="55"/>
      <c r="C10" s="55"/>
      <c r="D10" s="55"/>
      <c r="E10" s="55"/>
      <c r="F10" s="55"/>
      <c r="G10" s="55"/>
      <c r="H10" s="55"/>
      <c r="I10" s="55"/>
      <c r="J10" s="55"/>
      <c r="K10" s="55"/>
      <c r="L10" s="55"/>
      <c r="M10" s="55"/>
      <c r="N10" s="55"/>
      <c r="O10" s="55"/>
      <c r="P10" s="55"/>
      <c r="Q10" s="55"/>
      <c r="R10" s="55"/>
    </row>
    <row r="11" spans="2:18" ht="13.5" customHeight="1">
      <c r="B11" s="55"/>
      <c r="C11" s="55"/>
      <c r="D11" s="55"/>
      <c r="E11" s="55"/>
      <c r="F11" s="55"/>
      <c r="G11" s="55"/>
      <c r="H11" s="55"/>
      <c r="I11" s="55"/>
      <c r="J11" s="55"/>
      <c r="K11" s="55"/>
      <c r="L11" s="55"/>
      <c r="M11" s="55"/>
      <c r="N11" s="55"/>
      <c r="O11" s="55"/>
      <c r="P11" s="55"/>
      <c r="Q11" s="55"/>
      <c r="R11" s="55"/>
    </row>
    <row r="12" spans="2:18" ht="13.5" customHeight="1">
      <c r="B12" s="55"/>
      <c r="C12" s="55"/>
      <c r="D12" s="55"/>
      <c r="E12" s="55"/>
      <c r="F12" s="55"/>
      <c r="G12" s="55"/>
      <c r="H12" s="55"/>
      <c r="I12" s="55"/>
      <c r="J12" s="55"/>
      <c r="K12" s="55"/>
      <c r="L12" s="55"/>
      <c r="M12" s="55"/>
      <c r="N12" s="55"/>
      <c r="O12" s="55"/>
      <c r="P12" s="55"/>
      <c r="Q12" s="55"/>
      <c r="R12" s="55"/>
    </row>
    <row r="13" spans="2:18" ht="18.75">
      <c r="B13" s="55"/>
      <c r="C13" s="55"/>
      <c r="D13" s="55"/>
      <c r="E13" s="56"/>
      <c r="F13" s="55"/>
      <c r="G13" s="55"/>
      <c r="H13" s="55"/>
      <c r="I13" s="55"/>
      <c r="J13" s="55"/>
      <c r="K13" s="55"/>
      <c r="L13" s="55"/>
      <c r="M13" s="55"/>
      <c r="N13" s="55"/>
      <c r="O13" s="55"/>
      <c r="P13" s="55"/>
      <c r="Q13" s="55"/>
      <c r="R13" s="55"/>
    </row>
    <row r="14" spans="2:18" ht="13.5" customHeight="1">
      <c r="B14" s="55"/>
      <c r="C14" s="55"/>
      <c r="D14" s="55"/>
      <c r="E14" s="55"/>
      <c r="F14" s="55"/>
      <c r="G14" s="55"/>
      <c r="H14" s="55"/>
      <c r="I14" s="55"/>
      <c r="J14" s="55"/>
      <c r="K14" s="55"/>
      <c r="L14" s="55"/>
      <c r="M14" s="55"/>
      <c r="N14" s="55"/>
      <c r="O14" s="55"/>
      <c r="P14" s="55"/>
      <c r="Q14" s="55"/>
      <c r="R14" s="55"/>
    </row>
    <row r="15" spans="2:18" ht="13.5" customHeight="1">
      <c r="B15" s="55"/>
      <c r="C15" s="55"/>
      <c r="D15" s="55"/>
      <c r="E15" s="55"/>
      <c r="F15" s="55"/>
      <c r="G15" s="55"/>
      <c r="H15" s="55"/>
      <c r="I15" s="55"/>
      <c r="J15" s="55"/>
      <c r="K15" s="55"/>
      <c r="L15" s="55"/>
      <c r="M15" s="55"/>
      <c r="N15" s="55"/>
      <c r="O15" s="55"/>
      <c r="P15" s="55"/>
      <c r="Q15" s="55"/>
      <c r="R15" s="55"/>
    </row>
    <row r="16" spans="2:18" ht="13.5" customHeight="1">
      <c r="B16" s="55"/>
      <c r="C16" s="55"/>
      <c r="D16" s="55"/>
      <c r="E16" s="55"/>
      <c r="F16" s="55"/>
      <c r="G16" s="55"/>
      <c r="H16" s="55"/>
      <c r="I16" s="55"/>
      <c r="J16" s="55"/>
      <c r="K16" s="55"/>
      <c r="L16" s="55"/>
      <c r="M16" s="55"/>
      <c r="N16" s="55"/>
      <c r="O16" s="55"/>
      <c r="P16" s="55"/>
      <c r="Q16" s="55"/>
      <c r="R16" s="55"/>
    </row>
    <row r="17" spans="2:18" ht="13.5" customHeight="1">
      <c r="B17" s="55"/>
      <c r="C17" s="55"/>
      <c r="D17" s="55"/>
      <c r="E17" s="55"/>
      <c r="F17" s="55"/>
      <c r="G17" s="55"/>
      <c r="H17" s="55"/>
      <c r="I17" s="55"/>
      <c r="J17" s="55"/>
      <c r="K17" s="55"/>
      <c r="L17" s="55"/>
      <c r="M17" s="55"/>
      <c r="N17" s="55"/>
      <c r="O17" s="55"/>
      <c r="P17" s="55"/>
      <c r="Q17" s="55"/>
      <c r="R17" s="55"/>
    </row>
    <row r="18" spans="2:18" ht="13.5" customHeight="1">
      <c r="B18" s="55"/>
      <c r="C18" s="55"/>
      <c r="D18" s="55"/>
      <c r="E18" s="55"/>
      <c r="F18" s="55"/>
      <c r="G18" s="55"/>
      <c r="H18" s="55"/>
      <c r="I18" s="55"/>
      <c r="J18" s="55"/>
      <c r="K18" s="55"/>
      <c r="L18" s="55"/>
      <c r="M18" s="55"/>
      <c r="N18" s="55"/>
      <c r="O18" s="55"/>
      <c r="P18" s="55"/>
      <c r="Q18" s="55"/>
      <c r="R18" s="55"/>
    </row>
    <row r="19" spans="2:18" ht="13.5" customHeight="1">
      <c r="B19" s="55"/>
      <c r="C19" s="55"/>
      <c r="D19" s="55"/>
      <c r="E19" s="55"/>
      <c r="F19" s="55"/>
      <c r="G19" s="55"/>
      <c r="H19" s="55"/>
      <c r="I19" s="55"/>
      <c r="J19" s="55"/>
      <c r="K19" s="55"/>
      <c r="L19" s="55"/>
      <c r="M19" s="55"/>
      <c r="N19" s="55"/>
      <c r="O19" s="55"/>
      <c r="P19" s="55"/>
      <c r="Q19" s="55"/>
      <c r="R19" s="55"/>
    </row>
    <row r="20" spans="2:18" ht="13.5" customHeight="1">
      <c r="B20" s="55"/>
      <c r="C20" s="55"/>
      <c r="D20" s="55"/>
      <c r="E20" s="55"/>
      <c r="F20" s="55"/>
      <c r="G20" s="55"/>
      <c r="H20" s="55"/>
      <c r="I20" s="55"/>
      <c r="J20" s="55"/>
      <c r="K20" s="55"/>
      <c r="L20" s="55"/>
      <c r="M20" s="55"/>
      <c r="N20" s="55"/>
      <c r="O20" s="55"/>
      <c r="P20" s="55"/>
      <c r="Q20" s="55"/>
      <c r="R20" s="55"/>
    </row>
    <row r="21" spans="2:18" ht="13.5" customHeight="1">
      <c r="B21" s="55"/>
      <c r="C21" s="55"/>
      <c r="D21" s="55"/>
      <c r="E21" s="55"/>
      <c r="F21" s="55"/>
      <c r="G21" s="55"/>
      <c r="H21" s="55"/>
      <c r="I21" s="55"/>
      <c r="J21" s="55"/>
      <c r="K21" s="55"/>
      <c r="L21" s="55"/>
      <c r="M21" s="55"/>
      <c r="N21" s="55"/>
      <c r="O21" s="55"/>
      <c r="P21" s="55"/>
      <c r="Q21" s="55"/>
      <c r="R21" s="55"/>
    </row>
    <row r="22" spans="2:18" ht="13.5" customHeight="1">
      <c r="B22" s="55"/>
      <c r="C22" s="55"/>
      <c r="D22" s="55"/>
      <c r="E22" s="55"/>
      <c r="F22" s="55"/>
      <c r="G22" s="55"/>
      <c r="H22" s="55"/>
      <c r="I22" s="55"/>
      <c r="J22" s="55"/>
      <c r="K22" s="55"/>
      <c r="L22" s="55"/>
      <c r="M22" s="55"/>
      <c r="N22" s="55"/>
      <c r="O22" s="55"/>
      <c r="P22" s="55"/>
      <c r="Q22" s="55"/>
      <c r="R22" s="55"/>
    </row>
    <row r="23" spans="2:18" ht="13.5" customHeight="1">
      <c r="B23" s="55"/>
      <c r="C23" s="55"/>
      <c r="D23" s="55"/>
      <c r="E23" s="55"/>
      <c r="F23" s="55"/>
      <c r="G23" s="55"/>
      <c r="H23" s="55"/>
      <c r="I23" s="55"/>
      <c r="J23" s="55"/>
      <c r="K23" s="55"/>
      <c r="L23" s="55"/>
      <c r="M23" s="55"/>
      <c r="N23" s="55"/>
      <c r="O23" s="55"/>
      <c r="P23" s="55"/>
      <c r="Q23" s="55"/>
      <c r="R23" s="55"/>
    </row>
    <row r="24" spans="2:18" ht="13.5" customHeight="1">
      <c r="B24" s="55"/>
      <c r="C24" s="55"/>
      <c r="D24" s="55"/>
      <c r="E24" s="55"/>
      <c r="F24" s="55"/>
      <c r="G24" s="55"/>
      <c r="H24" s="55"/>
      <c r="I24" s="55"/>
      <c r="J24" s="55"/>
      <c r="K24" s="55"/>
      <c r="L24" s="55"/>
      <c r="M24" s="55"/>
      <c r="N24" s="55"/>
      <c r="O24" s="55"/>
      <c r="P24" s="55"/>
      <c r="Q24" s="55"/>
      <c r="R24" s="55"/>
    </row>
    <row r="25" spans="2:18" ht="13.5" customHeight="1">
      <c r="B25" s="55"/>
      <c r="C25" s="55"/>
      <c r="D25" s="55"/>
      <c r="E25" s="55"/>
      <c r="F25" s="55"/>
      <c r="G25" s="55"/>
      <c r="H25" s="55"/>
      <c r="I25" s="55"/>
      <c r="J25" s="55"/>
      <c r="K25" s="55"/>
      <c r="L25" s="55"/>
      <c r="M25" s="55"/>
      <c r="N25" s="55"/>
      <c r="O25" s="55"/>
      <c r="P25" s="55"/>
      <c r="Q25" s="55"/>
      <c r="R25" s="55"/>
    </row>
    <row r="26" spans="2:18" ht="13.5" customHeight="1">
      <c r="B26" s="55"/>
      <c r="C26" s="55"/>
      <c r="D26" s="55"/>
      <c r="E26" s="55"/>
      <c r="F26" s="55"/>
      <c r="G26" s="55"/>
      <c r="H26" s="55"/>
      <c r="I26" s="55"/>
      <c r="J26" s="55"/>
      <c r="K26" s="55"/>
      <c r="L26" s="55"/>
      <c r="M26" s="55"/>
      <c r="N26" s="55"/>
      <c r="O26" s="55"/>
      <c r="P26" s="55"/>
      <c r="Q26" s="55"/>
      <c r="R26" s="55"/>
    </row>
    <row r="27" spans="2:18" ht="13.5" customHeight="1">
      <c r="B27" s="55"/>
      <c r="C27" s="55"/>
      <c r="D27" s="55"/>
      <c r="E27" s="55"/>
      <c r="F27" s="55"/>
      <c r="G27" s="55"/>
      <c r="H27" s="55"/>
      <c r="I27" s="55"/>
      <c r="J27" s="55"/>
      <c r="K27" s="55"/>
      <c r="L27" s="55"/>
      <c r="M27" s="55"/>
      <c r="N27" s="55"/>
      <c r="O27" s="55"/>
      <c r="P27" s="55"/>
      <c r="Q27" s="55"/>
      <c r="R27" s="55"/>
    </row>
    <row r="28" spans="2:18" ht="13.5" customHeight="1">
      <c r="B28" s="55"/>
      <c r="C28" s="55"/>
      <c r="D28" s="55"/>
      <c r="E28" s="55"/>
      <c r="F28" s="55"/>
      <c r="G28" s="55"/>
      <c r="H28" s="55"/>
      <c r="I28" s="55"/>
      <c r="J28" s="55"/>
      <c r="K28" s="55"/>
      <c r="L28" s="55"/>
      <c r="M28" s="55"/>
      <c r="N28" s="55"/>
      <c r="O28" s="55"/>
      <c r="P28" s="55"/>
      <c r="Q28" s="55"/>
      <c r="R28" s="55"/>
    </row>
    <row r="29" spans="2:18" ht="13.5" customHeight="1">
      <c r="B29" s="55"/>
      <c r="C29" s="55"/>
      <c r="D29" s="55"/>
      <c r="E29" s="55"/>
      <c r="F29" s="55"/>
      <c r="G29" s="55"/>
      <c r="H29" s="55"/>
      <c r="I29" s="55"/>
      <c r="J29" s="55"/>
      <c r="K29" s="55"/>
      <c r="L29" s="55"/>
      <c r="M29" s="55"/>
      <c r="N29" s="55"/>
      <c r="O29" s="55"/>
      <c r="P29" s="55"/>
      <c r="Q29" s="55"/>
      <c r="R29" s="55"/>
    </row>
    <row r="30" spans="2:18" ht="13.5" customHeight="1">
      <c r="B30" s="55"/>
      <c r="C30" s="55"/>
      <c r="D30" s="55"/>
      <c r="E30" s="55"/>
      <c r="F30" s="55"/>
      <c r="G30" s="55"/>
      <c r="H30" s="55"/>
      <c r="I30" s="55"/>
      <c r="J30" s="55"/>
      <c r="K30" s="55"/>
      <c r="L30" s="55"/>
      <c r="M30" s="55"/>
      <c r="N30" s="55"/>
      <c r="O30" s="55"/>
      <c r="P30" s="55"/>
      <c r="Q30" s="55"/>
      <c r="R30" s="55"/>
    </row>
    <row r="31" spans="2:18" ht="13.5" customHeight="1">
      <c r="B31" s="55"/>
      <c r="C31" s="55"/>
      <c r="D31" s="55"/>
      <c r="E31" s="55"/>
      <c r="F31" s="55"/>
      <c r="G31" s="55"/>
      <c r="H31" s="55"/>
      <c r="I31" s="55"/>
      <c r="J31" s="55"/>
      <c r="K31" s="55"/>
      <c r="L31" s="55"/>
      <c r="M31" s="55"/>
      <c r="N31" s="55"/>
      <c r="O31" s="55"/>
      <c r="P31" s="55"/>
      <c r="Q31" s="55"/>
      <c r="R31" s="55"/>
    </row>
    <row r="32" spans="2:18" ht="13.5" customHeight="1">
      <c r="B32" s="55"/>
      <c r="C32" s="55"/>
      <c r="D32" s="55"/>
      <c r="E32" s="55"/>
      <c r="F32" s="55"/>
      <c r="G32" s="55"/>
      <c r="H32" s="55"/>
      <c r="I32" s="55"/>
      <c r="J32" s="55"/>
      <c r="K32" s="55"/>
      <c r="L32" s="55"/>
      <c r="M32" s="55"/>
      <c r="N32" s="55"/>
      <c r="O32" s="55"/>
      <c r="P32" s="55"/>
      <c r="Q32" s="55"/>
      <c r="R32" s="55"/>
    </row>
    <row r="33" spans="2:18" ht="13.5" customHeight="1">
      <c r="B33" s="55"/>
      <c r="C33" s="55"/>
      <c r="D33" s="55"/>
      <c r="E33" s="55"/>
      <c r="F33" s="55"/>
      <c r="G33" s="55"/>
      <c r="H33" s="55"/>
      <c r="I33" s="55"/>
      <c r="J33" s="55"/>
      <c r="K33" s="55"/>
      <c r="L33" s="55"/>
      <c r="M33" s="55"/>
      <c r="N33" s="55"/>
      <c r="O33" s="55"/>
      <c r="P33" s="55"/>
      <c r="Q33" s="55"/>
      <c r="R33" s="55"/>
    </row>
    <row r="34" spans="2:18" ht="13.5" customHeight="1">
      <c r="B34" s="55"/>
      <c r="C34" s="55"/>
      <c r="D34" s="55"/>
      <c r="E34" s="55"/>
      <c r="F34" s="55"/>
      <c r="G34" s="55"/>
      <c r="H34" s="55"/>
      <c r="I34" s="55"/>
      <c r="J34" s="55"/>
      <c r="K34" s="55"/>
      <c r="L34" s="55"/>
      <c r="M34" s="55"/>
      <c r="N34" s="55"/>
      <c r="O34" s="55"/>
      <c r="P34" s="55"/>
      <c r="Q34" s="55"/>
      <c r="R34" s="55"/>
    </row>
    <row r="35" spans="2:18" ht="13.5" customHeight="1">
      <c r="B35" s="55"/>
      <c r="C35" s="55"/>
      <c r="D35" s="55"/>
      <c r="E35" s="55"/>
      <c r="F35" s="55"/>
      <c r="G35" s="55"/>
      <c r="H35" s="55"/>
      <c r="I35" s="55"/>
      <c r="J35" s="55"/>
      <c r="K35" s="55"/>
      <c r="L35" s="55"/>
      <c r="M35" s="55"/>
      <c r="N35" s="55"/>
      <c r="O35" s="55"/>
      <c r="P35" s="55"/>
      <c r="Q35" s="55"/>
      <c r="R35" s="55"/>
    </row>
    <row r="36" spans="2:18" ht="13.5" customHeight="1">
      <c r="B36" s="55"/>
      <c r="C36" s="55"/>
      <c r="D36" s="55"/>
      <c r="E36" s="55"/>
      <c r="F36" s="55"/>
      <c r="G36" s="55"/>
      <c r="H36" s="55"/>
      <c r="I36" s="55"/>
      <c r="J36" s="55"/>
      <c r="K36" s="55"/>
      <c r="L36" s="55"/>
      <c r="M36" s="55"/>
      <c r="N36" s="55"/>
      <c r="O36" s="55"/>
      <c r="P36" s="55"/>
      <c r="Q36" s="55"/>
      <c r="R36" s="55"/>
    </row>
    <row r="37" spans="2:18" ht="13.5" customHeight="1">
      <c r="G37" s="55"/>
      <c r="H37" s="55"/>
      <c r="I37" s="55"/>
      <c r="J37" s="55"/>
      <c r="K37" s="55"/>
      <c r="L37" s="55"/>
      <c r="M37" s="55"/>
      <c r="N37" s="55"/>
      <c r="O37" s="55"/>
      <c r="P37" s="55"/>
      <c r="Q37" s="55"/>
      <c r="R37" s="55"/>
    </row>
    <row r="38" spans="2:18" ht="13.5" hidden="1" customHeight="1">
      <c r="J38" s="55"/>
      <c r="K38" s="55"/>
      <c r="L38" s="55"/>
      <c r="M38" s="55"/>
      <c r="N38" s="55"/>
      <c r="O38" s="55"/>
      <c r="P38" s="55"/>
      <c r="Q38" s="55"/>
      <c r="R38" s="55"/>
    </row>
  </sheetData>
  <sheetProtection password="CC47"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メイン</vt:lpstr>
      <vt:lpstr>結果</vt:lpstr>
      <vt:lpstr>スコア</vt:lpstr>
      <vt:lpstr>配慮</vt:lpstr>
      <vt:lpstr>電気排出係数</vt:lpstr>
      <vt:lpstr>採点Q1</vt:lpstr>
      <vt:lpstr>採点Q2</vt:lpstr>
      <vt:lpstr>採点Q3</vt:lpstr>
      <vt:lpstr>採点LR1</vt:lpstr>
      <vt:lpstr>採点LR2</vt:lpstr>
      <vt:lpstr>採点LR3</vt:lpstr>
      <vt:lpstr>CO2独自計算</vt:lpstr>
      <vt:lpstr>CO2計算</vt:lpstr>
      <vt:lpstr>独自ｼｽﾃﾑ</vt:lpstr>
      <vt:lpstr>高評価資料</vt:lpstr>
      <vt:lpstr>重み</vt:lpstr>
      <vt:lpstr>CO2データ</vt:lpstr>
      <vt:lpstr>クレジット</vt:lpstr>
      <vt:lpstr>CO2データ!Print_Area</vt:lpstr>
      <vt:lpstr>CO2計算!Print_Area</vt:lpstr>
      <vt:lpstr>クレジット!Print_Area</vt:lpstr>
      <vt:lpstr>スコア!Print_Area</vt:lpstr>
      <vt:lpstr>メイン!Print_Area</vt:lpstr>
      <vt:lpstr>結果!Print_Area</vt:lpstr>
      <vt:lpstr>高評価資料!Print_Area</vt:lpstr>
      <vt:lpstr>採点LR1!Print_Area</vt:lpstr>
      <vt:lpstr>採点LR2!Print_Area</vt:lpstr>
      <vt:lpstr>採点LR3!Print_Area</vt:lpstr>
      <vt:lpstr>採点Q1!Print_Area</vt:lpstr>
      <vt:lpstr>採点Q2!Print_Area</vt:lpstr>
      <vt:lpstr>採点Q3!Print_Area</vt:lpstr>
      <vt:lpstr>重み!Print_Area</vt:lpstr>
      <vt:lpstr>独自ｼｽﾃﾑ!Print_Area</vt:lpstr>
      <vt:lpstr>CO2計算!Print_Titles</vt:lpstr>
      <vt:lpstr>スコア!Print_Titles</vt:lpstr>
      <vt:lpstr>高評価資料!Print_Titles</vt:lpstr>
      <vt:lpstr>重み!Print_Titles</vt:lpstr>
    </vt:vector>
  </TitlesOfParts>
  <Manager>JSBC</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kyoto</cp:lastModifiedBy>
  <cp:lastPrinted>2015-03-12T02:34:47Z</cp:lastPrinted>
  <dcterms:created xsi:type="dcterms:W3CDTF">2003-08-12T12:24:47Z</dcterms:created>
  <dcterms:modified xsi:type="dcterms:W3CDTF">2015-03-23T13:47:22Z</dcterms:modified>
</cp:coreProperties>
</file>